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mc:AlternateContent xmlns:mc="http://schemas.openxmlformats.org/markup-compatibility/2006">
    <mc:Choice Requires="x15">
      <x15ac:absPath xmlns:x15ac="http://schemas.microsoft.com/office/spreadsheetml/2010/11/ac" url="C:\Users\amandab\Documents\MIM\Calculators\"/>
    </mc:Choice>
  </mc:AlternateContent>
  <xr:revisionPtr revIDLastSave="0" documentId="8_{2300282B-9D96-4C0A-8F76-42BDC38B22C2}" xr6:coauthVersionLast="46" xr6:coauthVersionMax="46" xr10:uidLastSave="{00000000-0000-0000-0000-000000000000}"/>
  <workbookProtection workbookAlgorithmName="SHA-512" workbookHashValue="XASuWlt/Iz/4jEp+71gINCdI4Nwu+xTmWiyshHgrY+RGJ/uqe2u2dLUSx0MSGymFrNhERK/sKlS+KF4fGRd4Ag==" workbookSaltValue="VvO7Q9DE1ZkZBDjww7Wxug==" workbookSpinCount="100000" lockStructure="1"/>
  <bookViews>
    <workbookView xWindow="-98" yWindow="-98" windowWidth="20715" windowHeight="13276" tabRatio="658" activeTab="2" xr2:uid="{00000000-000D-0000-FFFF-FFFF00000000}"/>
  </bookViews>
  <sheets>
    <sheet name="Instructions" sheetId="9" r:id="rId1"/>
    <sheet name="Fire Resistance " sheetId="20" r:id="rId2"/>
    <sheet name="Fire Resistance Rating" sheetId="21" r:id="rId3"/>
    <sheet name="Fire Resistance Loop Tables" sheetId="15" state="hidden" r:id="rId4"/>
    <sheet name="Fire Resistance Lookup Graph" sheetId="16" state="hidden" r:id="rId5"/>
  </sheets>
  <definedNames>
    <definedName name="count3" localSheetId="1">#REF!</definedName>
    <definedName name="count3">#REF!</definedName>
    <definedName name="Count5">#REF!</definedName>
    <definedName name="Grout" localSheetId="1">#REF!</definedName>
    <definedName name="Grout">#REF!</definedName>
    <definedName name="GroutPlacement">#REF!</definedName>
    <definedName name="HolSol">#REF!</definedName>
    <definedName name="Mortar">#REF!</definedName>
    <definedName name="None12">#REF!</definedName>
    <definedName name="Spanning">#REF!</definedName>
    <definedName name="Units" localSheetId="1">#REF!</definedName>
    <definedName name="Units">#REF!</definedName>
    <definedName name="WebDef">#REF!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20" l="1"/>
  <c r="E119" i="20" l="1"/>
  <c r="C114" i="15" a="1"/>
  <c r="C114" i="15" s="1"/>
  <c r="E221" i="21" s="1"/>
  <c r="G13" i="20" l="1"/>
  <c r="E169" i="21" l="1"/>
  <c r="F173" i="21"/>
  <c r="F169" i="21"/>
  <c r="F166" i="21"/>
  <c r="F159" i="21"/>
  <c r="F157" i="21"/>
  <c r="F155" i="21"/>
  <c r="F232" i="21"/>
  <c r="F237" i="21"/>
  <c r="F234" i="21"/>
  <c r="F221" i="21"/>
  <c r="F226" i="21"/>
  <c r="F225" i="21"/>
  <c r="F224" i="21"/>
  <c r="F250" i="21"/>
  <c r="F248" i="21"/>
  <c r="F242" i="21"/>
  <c r="F241" i="21"/>
  <c r="F240" i="21"/>
  <c r="B159" i="21"/>
  <c r="B157" i="21"/>
  <c r="B155" i="21"/>
  <c r="B153" i="21"/>
  <c r="B173" i="21"/>
  <c r="B171" i="21"/>
  <c r="B169" i="21"/>
  <c r="B166" i="21"/>
  <c r="A218" i="21"/>
  <c r="A90" i="20"/>
  <c r="A96" i="20"/>
  <c r="A97" i="20"/>
  <c r="A105" i="20"/>
  <c r="A122" i="20"/>
  <c r="A120" i="20"/>
  <c r="G115" i="20"/>
  <c r="A113" i="20"/>
  <c r="A109" i="20"/>
  <c r="B250" i="21"/>
  <c r="B248" i="21"/>
  <c r="B242" i="21"/>
  <c r="B241" i="21"/>
  <c r="B240" i="21"/>
  <c r="B239" i="21"/>
  <c r="B237" i="21"/>
  <c r="B234" i="21"/>
  <c r="B232" i="21"/>
  <c r="B226" i="21"/>
  <c r="B225" i="21"/>
  <c r="B224" i="21"/>
  <c r="B223" i="21"/>
  <c r="B221" i="21"/>
  <c r="D115" i="20"/>
  <c r="E15" i="21" l="1"/>
  <c r="E157" i="21" s="1"/>
  <c r="H2" i="21"/>
  <c r="H3" i="21"/>
  <c r="H4" i="21"/>
  <c r="H1" i="21"/>
  <c r="E225" i="21" l="1"/>
  <c r="E241" i="21"/>
  <c r="E53" i="20"/>
  <c r="E46" i="20"/>
  <c r="B100" i="21" l="1"/>
  <c r="B98" i="21"/>
  <c r="A52" i="20"/>
  <c r="A51" i="20"/>
  <c r="A50" i="20"/>
  <c r="A49" i="20"/>
  <c r="A48" i="20"/>
  <c r="G49" i="20" s="1"/>
  <c r="A36" i="20"/>
  <c r="A37" i="20"/>
  <c r="A34" i="20"/>
  <c r="G34" i="20" s="1"/>
  <c r="A33" i="20"/>
  <c r="B90" i="21"/>
  <c r="B83" i="21"/>
  <c r="A45" i="20"/>
  <c r="A40" i="20" s="1"/>
  <c r="A44" i="20"/>
  <c r="A43" i="20"/>
  <c r="A42" i="20"/>
  <c r="A41" i="20"/>
  <c r="G42" i="20" s="1"/>
  <c r="A38" i="20"/>
  <c r="A88" i="21"/>
  <c r="A87" i="21"/>
  <c r="A86" i="21"/>
  <c r="A85" i="21"/>
  <c r="A20" i="21"/>
  <c r="A19" i="21"/>
  <c r="A18" i="21"/>
  <c r="A17" i="21"/>
  <c r="E97" i="20" l="1"/>
  <c r="E91" i="20"/>
  <c r="A102" i="20"/>
  <c r="E239" i="21" l="1"/>
  <c r="A32" i="20"/>
  <c r="E213" i="21"/>
  <c r="E212" i="21"/>
  <c r="E215" i="21"/>
  <c r="E214" i="21"/>
  <c r="J202" i="21"/>
  <c r="J203" i="21"/>
  <c r="J204" i="21"/>
  <c r="J201" i="21"/>
  <c r="E90" i="21"/>
  <c r="E83" i="21"/>
  <c r="J138" i="21"/>
  <c r="J139" i="21"/>
  <c r="J140" i="21"/>
  <c r="E86" i="21" l="1"/>
  <c r="F86" i="21" s="1"/>
  <c r="E85" i="21"/>
  <c r="F85" i="21" s="1"/>
  <c r="E88" i="21"/>
  <c r="F88" i="21" s="1"/>
  <c r="E87" i="21"/>
  <c r="F87" i="21" s="1"/>
  <c r="C87" i="21"/>
  <c r="D87" i="21" s="1"/>
  <c r="C86" i="21"/>
  <c r="D86" i="21" s="1"/>
  <c r="C85" i="21"/>
  <c r="D85" i="21" s="1"/>
  <c r="C88" i="21"/>
  <c r="D88" i="21" s="1"/>
  <c r="H140" i="21" l="1"/>
  <c r="H204" i="21" s="1"/>
  <c r="H70" i="21"/>
  <c r="H139" i="21"/>
  <c r="H203" i="21" s="1"/>
  <c r="H69" i="21"/>
  <c r="H138" i="21"/>
  <c r="H202" i="21" s="1"/>
  <c r="H68" i="21"/>
  <c r="H137" i="21"/>
  <c r="H201" i="21" s="1"/>
  <c r="H67" i="21"/>
  <c r="D111" i="20" l="1"/>
  <c r="E122" i="20" l="1"/>
  <c r="E121" i="20"/>
  <c r="E123" i="20" l="1"/>
  <c r="E145" i="21" l="1"/>
  <c r="E209" i="21" s="1"/>
  <c r="E144" i="21"/>
  <c r="E208" i="21" s="1"/>
  <c r="E147" i="21" l="1"/>
  <c r="E211" i="21" s="1"/>
  <c r="E146" i="21"/>
  <c r="E210" i="21" s="1"/>
  <c r="F9" i="21"/>
  <c r="F75" i="21" s="1"/>
  <c r="F10" i="21"/>
  <c r="F76" i="21" s="1"/>
  <c r="F11" i="21"/>
  <c r="F77" i="21" s="1"/>
  <c r="F8" i="21"/>
  <c r="F74" i="21" s="1"/>
  <c r="J137" i="21" l="1"/>
  <c r="A247" i="21" l="1"/>
  <c r="A246" i="21"/>
  <c r="A245" i="21"/>
  <c r="A244" i="21"/>
  <c r="C243" i="21"/>
  <c r="A231" i="21"/>
  <c r="A230" i="21"/>
  <c r="A229" i="21"/>
  <c r="A228" i="21"/>
  <c r="C227" i="21"/>
  <c r="A165" i="21"/>
  <c r="A164" i="21"/>
  <c r="A163" i="21"/>
  <c r="A162" i="21"/>
  <c r="C161" i="21"/>
  <c r="F100" i="21"/>
  <c r="F98" i="21"/>
  <c r="F90" i="21"/>
  <c r="E95" i="21"/>
  <c r="F95" i="21" s="1"/>
  <c r="E100" i="21" s="1"/>
  <c r="F83" i="21"/>
  <c r="C94" i="21"/>
  <c r="D94" i="21" s="1"/>
  <c r="C95" i="21" l="1"/>
  <c r="D95" i="21" s="1"/>
  <c r="C93" i="21"/>
  <c r="E93" i="21"/>
  <c r="F93" i="21" s="1"/>
  <c r="E94" i="21"/>
  <c r="F94" i="21" s="1"/>
  <c r="D93" i="21" l="1"/>
  <c r="E98" i="21" s="1"/>
  <c r="D61" i="15" l="1"/>
  <c r="D60" i="15"/>
  <c r="D59" i="15"/>
  <c r="A104" i="20" l="1"/>
  <c r="G33" i="20"/>
  <c r="A6" i="16" l="1"/>
  <c r="A5" i="16"/>
  <c r="A4" i="16"/>
  <c r="A3" i="16"/>
  <c r="C102" i="15"/>
  <c r="C101" i="15"/>
  <c r="C100" i="15"/>
  <c r="C99" i="15"/>
  <c r="B98" i="15"/>
  <c r="C94" i="15"/>
  <c r="C93" i="15"/>
  <c r="C92" i="15"/>
  <c r="C91" i="15"/>
  <c r="C90" i="15"/>
  <c r="C89" i="15"/>
  <c r="C88" i="15"/>
  <c r="C87" i="15"/>
  <c r="C86" i="15"/>
  <c r="C84" i="15"/>
  <c r="C83" i="15"/>
  <c r="C82" i="15"/>
  <c r="C81" i="15"/>
  <c r="C80" i="15"/>
  <c r="C79" i="15"/>
  <c r="C78" i="15"/>
  <c r="C77" i="15"/>
  <c r="C47" i="15"/>
  <c r="C46" i="15"/>
  <c r="C45" i="15"/>
  <c r="C44" i="15"/>
  <c r="B43" i="15"/>
  <c r="C40" i="15"/>
  <c r="C39" i="15"/>
  <c r="C38" i="15"/>
  <c r="C37" i="15"/>
  <c r="C36" i="15"/>
  <c r="C35" i="15"/>
  <c r="C34" i="15"/>
  <c r="C33" i="15"/>
  <c r="C32" i="15"/>
  <c r="C30" i="15"/>
  <c r="C29" i="15"/>
  <c r="C28" i="15"/>
  <c r="C27" i="15"/>
  <c r="C26" i="15"/>
  <c r="C25" i="15"/>
  <c r="C24" i="15"/>
  <c r="C23" i="15"/>
  <c r="D7" i="15"/>
  <c r="D6" i="15"/>
  <c r="D5" i="15"/>
  <c r="A128" i="20"/>
  <c r="A127" i="20"/>
  <c r="A126" i="20"/>
  <c r="A125" i="20"/>
  <c r="C124" i="20"/>
  <c r="G110" i="20"/>
  <c r="F105" i="20"/>
  <c r="F104" i="20"/>
  <c r="F102" i="20"/>
  <c r="F101" i="20"/>
  <c r="A101" i="20"/>
  <c r="D99" i="20"/>
  <c r="D98" i="20"/>
  <c r="D93" i="20"/>
  <c r="D92" i="20"/>
  <c r="F34" i="20"/>
  <c r="F33" i="20"/>
  <c r="G18" i="20"/>
  <c r="C115" i="15" l="1" a="1"/>
  <c r="C115" i="15" s="1"/>
  <c r="E237" i="21" a="1"/>
  <c r="E237" i="21" s="1"/>
  <c r="E120" i="20"/>
  <c r="E240" i="21"/>
  <c r="E242" i="21" s="1"/>
  <c r="D74" i="15"/>
  <c r="E223" i="21" s="1" a="1"/>
  <c r="E223" i="21" s="1"/>
  <c r="E224" i="21" s="1"/>
  <c r="E226" i="21" s="1"/>
  <c r="D20" i="15"/>
  <c r="E153" i="21" s="1"/>
  <c r="F90" i="20" s="1"/>
  <c r="G90" i="20" s="1"/>
  <c r="E155" i="21" l="1"/>
  <c r="E159" i="21" s="1"/>
  <c r="F96" i="20"/>
  <c r="G96" i="20" s="1"/>
  <c r="C125" i="20" l="1"/>
  <c r="D125" i="20" s="1"/>
  <c r="C128" i="20"/>
  <c r="D128" i="20" s="1"/>
  <c r="C127" i="20"/>
  <c r="D127" i="20" s="1"/>
  <c r="C126" i="20"/>
  <c r="D126" i="20" s="1"/>
  <c r="D129" i="20" l="1"/>
  <c r="C20" i="21" l="1"/>
  <c r="D20" i="21" s="1"/>
  <c r="C19" i="21"/>
  <c r="D19" i="21" s="1"/>
  <c r="C18" i="21"/>
  <c r="D18" i="21" s="1"/>
  <c r="C17" i="21"/>
  <c r="D17" i="21" s="1"/>
  <c r="B104" i="15"/>
  <c r="C104" i="15" s="1"/>
  <c r="B49" i="15"/>
  <c r="C49" i="15" s="1"/>
  <c r="B105" i="15"/>
  <c r="C105" i="15" s="1"/>
  <c r="B50" i="15"/>
  <c r="C50" i="15" s="1"/>
  <c r="B107" i="15"/>
  <c r="C107" i="15" s="1"/>
  <c r="B106" i="15"/>
  <c r="C106" i="15" s="1"/>
  <c r="B51" i="15"/>
  <c r="C51" i="15" s="1"/>
  <c r="B52" i="15"/>
  <c r="C52" i="15" s="1"/>
  <c r="E22" i="21" l="1"/>
  <c r="E81" i="21" s="1"/>
  <c r="E171" i="21" s="1"/>
  <c r="C246" i="21"/>
  <c r="D246" i="21" s="1"/>
  <c r="C245" i="21"/>
  <c r="D245" i="21" s="1"/>
  <c r="C244" i="21"/>
  <c r="D244" i="21" s="1"/>
  <c r="C247" i="21"/>
  <c r="D247" i="21" s="1"/>
  <c r="C228" i="21"/>
  <c r="D228" i="21" s="1"/>
  <c r="C230" i="21"/>
  <c r="D230" i="21" s="1"/>
  <c r="C231" i="21"/>
  <c r="D231" i="21" s="1"/>
  <c r="C229" i="21"/>
  <c r="D229" i="21" s="1"/>
  <c r="C85" i="15"/>
  <c r="C31" i="15"/>
  <c r="F108" i="20" s="1"/>
  <c r="G108" i="20" s="1"/>
  <c r="C163" i="21"/>
  <c r="D163" i="21" s="1"/>
  <c r="C165" i="21"/>
  <c r="D165" i="21" s="1"/>
  <c r="C164" i="21"/>
  <c r="D164" i="21" s="1"/>
  <c r="C162" i="21"/>
  <c r="D162" i="21" s="1"/>
  <c r="F171" i="21" l="1"/>
  <c r="E173" i="21"/>
  <c r="E232" i="21"/>
  <c r="E234" i="21" s="1"/>
  <c r="E248" i="21"/>
  <c r="E250" i="21" s="1"/>
  <c r="E166" i="21"/>
  <c r="F113" i="20"/>
  <c r="G113" i="20" s="1"/>
  <c r="E10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Craig Schriner</author>
  </authors>
  <commentList>
    <comment ref="A90" authorId="0" shapeId="0" xr:uid="{00000000-0006-0000-0100-000001000000}">
      <text>
        <r>
          <rPr>
            <sz val="9"/>
            <color indexed="81"/>
            <rFont val="Tahoma"/>
            <family val="2"/>
          </rPr>
          <t xml:space="preserve">
</t>
        </r>
      </text>
    </comment>
    <comment ref="A96" authorId="0" shapeId="0" xr:uid="{00000000-0006-0000-0100-000002000000}">
      <text>
        <r>
          <rPr>
            <sz val="9"/>
            <color indexed="81"/>
            <rFont val="Tahoma"/>
            <family val="2"/>
          </rPr>
          <t xml:space="preserve">
</t>
        </r>
      </text>
    </comment>
    <comment ref="A109" authorId="0" shapeId="0" xr:uid="{00000000-0006-0000-0100-000003000000}">
      <text>
        <r>
          <rPr>
            <sz val="9"/>
            <color indexed="81"/>
            <rFont val="Tahoma"/>
            <family val="2"/>
          </rPr>
          <t xml:space="preserve">
</t>
        </r>
      </text>
    </comment>
    <comment ref="A113" authorId="0" shapeId="0" xr:uid="{00000000-0006-0000-0100-000004000000}">
      <text/>
    </comment>
  </commentList>
</comments>
</file>

<file path=xl/sharedStrings.xml><?xml version="1.0" encoding="utf-8"?>
<sst xmlns="http://schemas.openxmlformats.org/spreadsheetml/2006/main" count="305" uniqueCount="110">
  <si>
    <t>Hollow</t>
  </si>
  <si>
    <t>Project Name</t>
  </si>
  <si>
    <t>Project Number</t>
  </si>
  <si>
    <t>Date</t>
  </si>
  <si>
    <t>Unit Description</t>
  </si>
  <si>
    <t>Project Name:</t>
  </si>
  <si>
    <t>Project Number:</t>
  </si>
  <si>
    <t>Unit Description:</t>
  </si>
  <si>
    <t>Reference Table</t>
  </si>
  <si>
    <t>in.</t>
  </si>
  <si>
    <t>hours</t>
  </si>
  <si>
    <t>Fire Rating of Unit</t>
  </si>
  <si>
    <t>Fire Rating</t>
  </si>
  <si>
    <t>Non-Fire Side</t>
  </si>
  <si>
    <t>Grouted</t>
  </si>
  <si>
    <t>&gt;=75% Solid</t>
  </si>
  <si>
    <t>1 in.</t>
  </si>
  <si>
    <t>Portland Cement-Sand Plaster on Metal Lath</t>
  </si>
  <si>
    <t>Fire Side</t>
  </si>
  <si>
    <t>80% or more by volume of expanded shale_slate_clay_slag_pumice</t>
  </si>
  <si>
    <t>Gypsum Sand Plaster</t>
  </si>
  <si>
    <t>Fire Rating Based on Finish Materials</t>
  </si>
  <si>
    <t>Expanded slag or pumice</t>
  </si>
  <si>
    <t>Expanded clay, shale, or slate</t>
  </si>
  <si>
    <t>Limestone, Cinders or Unexpanded Slag</t>
  </si>
  <si>
    <t>Calcareous or Siliceous Gravel</t>
  </si>
  <si>
    <t>Gypsum-Sand Plaster on Metal Lath</t>
  </si>
  <si>
    <t>7/8 in.</t>
  </si>
  <si>
    <t>3/4 in.</t>
  </si>
  <si>
    <t>5/8 in.</t>
  </si>
  <si>
    <t>1/2 in.</t>
  </si>
  <si>
    <t>Direct Applied</t>
  </si>
  <si>
    <t>Direct Applied Portland Cement</t>
  </si>
  <si>
    <t>Two layers of 1/2 in.</t>
  </si>
  <si>
    <t>Gypsum Wallboard</t>
  </si>
  <si>
    <t>One Layer of 3/8 in. and One layer of 1/2 in.</t>
  </si>
  <si>
    <t>Two Layers of 3/8 in.</t>
  </si>
  <si>
    <t>3/8 in.</t>
  </si>
  <si>
    <t>Time (hr)</t>
  </si>
  <si>
    <t>Finish</t>
  </si>
  <si>
    <t>Gypsum Vermiculite or Perlite Plaster</t>
  </si>
  <si>
    <t>Portland Cement Sand Plaster</t>
  </si>
  <si>
    <t>Siliceous_Calcareous_Limestone_Cinders_Air Cooled Blast Furnace Slag</t>
  </si>
  <si>
    <t>Type</t>
  </si>
  <si>
    <t>Aggregate Type</t>
  </si>
  <si>
    <t>&gt;= 75% Solid</t>
  </si>
  <si>
    <t>Fire Rating Based on Single Wythe CMU Wall</t>
  </si>
  <si>
    <t>Fire Rating Based on Multi Wythe CMU Wall</t>
  </si>
  <si>
    <t>How many total wythes are present including the CMU wall?</t>
  </si>
  <si>
    <t>% Volume Breakdown</t>
  </si>
  <si>
    <t>Wythe #1 - Max/Min Equiv. Thickness Check</t>
  </si>
  <si>
    <t>Wythe #2 - Max/Min Equiv. Thickness Check</t>
  </si>
  <si>
    <t>Wythe #1 - Fire Rating</t>
  </si>
  <si>
    <t>Wythe #2 - Fire Rating</t>
  </si>
  <si>
    <t>Max/Min Equivalent Thickness Check</t>
  </si>
  <si>
    <t>What type of assembly is to be analyzed?</t>
  </si>
  <si>
    <t>Side 1</t>
  </si>
  <si>
    <t>Side 2</t>
  </si>
  <si>
    <t>Gypsum-Sand Plaster on 3/8 in. gypsum lath</t>
  </si>
  <si>
    <t xml:space="preserve">Fire Rating of Assembly </t>
  </si>
  <si>
    <t>Direct Applied Thickness</t>
  </si>
  <si>
    <t>DIRECT APPLIED FIRE RATING CALCULATION</t>
  </si>
  <si>
    <t xml:space="preserve">7/8 in. </t>
  </si>
  <si>
    <t>Fire on Finish #1 Side</t>
  </si>
  <si>
    <t>Fire on Finish #2 Side</t>
  </si>
  <si>
    <t>Does thickness #1 non-fire side and fire side match?</t>
  </si>
  <si>
    <t>Fire Rating of Finish Alone</t>
  </si>
  <si>
    <t>Fire Side Thickness</t>
  </si>
  <si>
    <t>Does the non-fire finish and fire side finish for finish #1 match?</t>
  </si>
  <si>
    <t>Type 'X' Gypsum Wallboard</t>
  </si>
  <si>
    <t>Does the CMU contribute equal to or more than half of the total fire rating?</t>
  </si>
  <si>
    <t>Fire Rating Based on Composition - Single Wythe CMU</t>
  </si>
  <si>
    <t>Fire Rating Based on Multi-Wythe - Brick and CMU</t>
  </si>
  <si>
    <t>Unit Composition</t>
  </si>
  <si>
    <t>Finishes</t>
  </si>
  <si>
    <t>Side #1 - Fire Side</t>
  </si>
  <si>
    <t>Side #1 - Non-Fire Side</t>
  </si>
  <si>
    <t>Side #2 - Non-Fire Side</t>
  </si>
  <si>
    <t>Date:</t>
  </si>
  <si>
    <t>Step 1: Enter Equivalent Thickness</t>
  </si>
  <si>
    <t>Step 2: Fill out the aggregate composition of the unit</t>
  </si>
  <si>
    <t>Step 1: Enter Wythe Details</t>
  </si>
  <si>
    <t>Step 1: Enter Assembly Description</t>
  </si>
  <si>
    <t>Step 2: Enter Non-Fire Side Finish Detail(s)</t>
  </si>
  <si>
    <t>Step 3: Enter Fire Side Finish Detail(s)</t>
  </si>
  <si>
    <t xml:space="preserve">***This section is meant for producers only! Designers should not use this section of the estimator to create their own mixes. Local producers should be consulted if the mix is needed to be determined. </t>
  </si>
  <si>
    <t xml:space="preserve">***This section is meant for designers if they wish to determine how to effect the fire rating with external components for a CMU wall. </t>
  </si>
  <si>
    <t>Fire Rating Based on Finishes - Single Wythe CMU with Finish on one side</t>
  </si>
  <si>
    <t>Side #2 - Fire Side</t>
  </si>
  <si>
    <t>**The option of a clay veneer and finish is a not a calculatable option due to multi-wythe walls typically obtaining a fire rating &gt; 4 hrs.</t>
  </si>
  <si>
    <t>Step 4: Detail Checks</t>
  </si>
  <si>
    <t>What is the aggregate type in concrete masonry</t>
  </si>
  <si>
    <t xml:space="preserve">Non-Fire-Exposed Side </t>
  </si>
  <si>
    <t>Fire-Exposed Side</t>
  </si>
  <si>
    <t>Do you wish to enter a fire rating or enter equivalent thickness for clay  (brick, tile, or shale) or CMU wythe(s)?</t>
  </si>
  <si>
    <t>Max/Min Equivalent Thickness Check - CMU #1</t>
  </si>
  <si>
    <t>Fire Rating - CMU #1</t>
  </si>
  <si>
    <t>Max/Min Equivalent Thickness Check - CMU #2</t>
  </si>
  <si>
    <t>Fire Rating - CMU #2</t>
  </si>
  <si>
    <t>Unit Wythe Composition</t>
  </si>
  <si>
    <t>Select the desired layout of the mutli-wythe configuration</t>
  </si>
  <si>
    <t>Enter the Equivalent Thickness</t>
  </si>
  <si>
    <t>Equivalent Thickness of Unit</t>
  </si>
  <si>
    <t>The following fire rating calculations were based off of ACI 216/1/TMS 216</t>
  </si>
  <si>
    <t>CMU Single Wythe with a finish on both sides</t>
  </si>
  <si>
    <t>Clay / CMU</t>
  </si>
  <si>
    <t>Equivalent Thickness</t>
  </si>
  <si>
    <t>Yes</t>
  </si>
  <si>
    <t>Calculation for single wythe with finish on both sides - finish #1 side</t>
  </si>
  <si>
    <t>Calculation for single wythe with finish on both sides - finish #2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</si>
</sst>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General_)"/>
    <numFmt numFmtId="166" formatCode="[$-F800]dddd\,\ mmmm\ dd\,\ yyyy"/>
  </numFmts>
  <fonts count="29" x14ac:knownFonts="1">
    <font>
      <sz val="11"/>
      <color theme="1"/>
      <name val="Calibri"/>
      <family val="2"/>
      <scheme val="minor"/>
    </font>
    <font>
      <sz val="11"/>
      <color rgb="FF3F3F76"/>
      <name val="Calibri"/>
      <family val="2"/>
      <scheme val="minor"/>
    </font>
    <font>
      <b/>
      <sz val="11"/>
      <color rgb="FFFA7D00"/>
      <name val="Calibri"/>
      <family val="2"/>
      <scheme val="minor"/>
    </font>
    <font>
      <sz val="11"/>
      <color theme="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2"/>
      <name val="Helv"/>
    </font>
    <font>
      <b/>
      <sz val="12"/>
      <name val="Times New Roman"/>
      <family val="1"/>
    </font>
    <font>
      <sz val="12"/>
      <name val="Times New Roman"/>
      <family val="1"/>
    </font>
    <font>
      <sz val="10"/>
      <name val="Calibri"/>
      <family val="2"/>
      <scheme val="minor"/>
    </font>
    <font>
      <sz val="12"/>
      <name val="Calibri"/>
      <family val="2"/>
      <scheme val="minor"/>
    </font>
    <font>
      <b/>
      <sz val="12"/>
      <name val="Calibri"/>
      <family val="2"/>
      <scheme val="minor"/>
    </font>
    <font>
      <sz val="11"/>
      <name val="Calibri"/>
      <family val="2"/>
      <scheme val="minor"/>
    </font>
    <font>
      <b/>
      <i/>
      <sz val="11"/>
      <color theme="1"/>
      <name val="Calibri"/>
      <family val="2"/>
      <scheme val="minor"/>
    </font>
    <font>
      <sz val="9"/>
      <color indexed="81"/>
      <name val="Tahoma"/>
      <family val="2"/>
    </font>
    <font>
      <sz val="11"/>
      <color theme="3" tint="-0.499984740745262"/>
      <name val="Calibri"/>
      <family val="2"/>
      <scheme val="minor"/>
    </font>
    <font>
      <i/>
      <u/>
      <sz val="11"/>
      <color theme="1"/>
      <name val="Calibri"/>
      <family val="2"/>
      <scheme val="minor"/>
    </font>
    <font>
      <i/>
      <sz val="11"/>
      <color theme="0"/>
      <name val="Calibri"/>
      <family val="2"/>
      <scheme val="minor"/>
    </font>
    <font>
      <i/>
      <sz val="11"/>
      <color rgb="FFFF0000"/>
      <name val="Calibri"/>
      <family val="2"/>
      <scheme val="minor"/>
    </font>
    <font>
      <i/>
      <sz val="10"/>
      <name val="Calibri"/>
      <family val="2"/>
      <scheme val="minor"/>
    </font>
    <font>
      <i/>
      <sz val="12"/>
      <name val="Calibri"/>
      <family val="2"/>
      <scheme val="minor"/>
    </font>
    <font>
      <i/>
      <sz val="11"/>
      <name val="Calibri"/>
      <family val="2"/>
      <scheme val="minor"/>
    </font>
    <font>
      <sz val="11"/>
      <color rgb="FFFF0000"/>
      <name val="Calibri"/>
      <family val="2"/>
      <scheme val="minor"/>
    </font>
    <font>
      <b/>
      <i/>
      <sz val="12"/>
      <name val="Calibri"/>
      <family val="2"/>
      <scheme val="minor"/>
    </font>
    <font>
      <sz val="11"/>
      <color rgb="FFFA7D00"/>
      <name val="Calibri"/>
      <family val="2"/>
      <scheme val="minor"/>
    </font>
    <font>
      <i/>
      <sz val="12"/>
      <color rgb="FFFF0000"/>
      <name val="Calibri"/>
      <family val="2"/>
      <scheme val="minor"/>
    </font>
    <font>
      <sz val="11"/>
      <color theme="1" tint="0.34998626667073579"/>
      <name val="Calibri"/>
      <family val="2"/>
      <scheme val="minor"/>
    </font>
    <font>
      <b/>
      <i/>
      <sz val="11"/>
      <name val="Calibri"/>
      <family val="2"/>
      <scheme val="min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rgb="FFFFFF00"/>
        <bgColor indexed="64"/>
      </patternFill>
    </fill>
    <fill>
      <patternFill patternType="solid">
        <fgColor theme="1"/>
        <bgColor indexed="64"/>
      </patternFill>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s>
  <cellStyleXfs count="8">
    <xf numFmtId="0" fontId="0" fillId="0" borderId="0"/>
    <xf numFmtId="0" fontId="1" fillId="2" borderId="5" applyNumberFormat="0" applyAlignment="0" applyProtection="0"/>
    <xf numFmtId="0" fontId="2" fillId="3" borderId="5" applyNumberFormat="0" applyAlignment="0" applyProtection="0"/>
    <xf numFmtId="0" fontId="6" fillId="0" borderId="0"/>
    <xf numFmtId="165" fontId="7" fillId="0" borderId="0"/>
    <xf numFmtId="9" fontId="7" fillId="0" borderId="0" applyFont="0" applyFill="0" applyBorder="0" applyAlignment="0" applyProtection="0"/>
    <xf numFmtId="44" fontId="7" fillId="0" borderId="0" applyFont="0" applyFill="0" applyBorder="0" applyAlignment="0" applyProtection="0"/>
    <xf numFmtId="9" fontId="6" fillId="0" borderId="0" applyFont="0" applyFill="0" applyBorder="0" applyAlignment="0" applyProtection="0"/>
  </cellStyleXfs>
  <cellXfs count="264">
    <xf numFmtId="0" fontId="0" fillId="0" borderId="0" xfId="0"/>
    <xf numFmtId="0" fontId="4" fillId="0" borderId="0" xfId="0" applyFont="1" applyProtection="1"/>
    <xf numFmtId="0" fontId="4" fillId="0" borderId="0" xfId="0" applyFont="1" applyBorder="1" applyAlignment="1" applyProtection="1">
      <alignment horizontal="center"/>
    </xf>
    <xf numFmtId="165" fontId="9" fillId="0" borderId="0" xfId="4" applyFont="1"/>
    <xf numFmtId="165" fontId="7" fillId="0" borderId="0" xfId="4"/>
    <xf numFmtId="2" fontId="7" fillId="0" borderId="10" xfId="4" applyNumberFormat="1" applyFill="1" applyBorder="1"/>
    <xf numFmtId="165" fontId="7" fillId="0" borderId="10" xfId="4" applyFill="1" applyBorder="1"/>
    <xf numFmtId="165" fontId="7" fillId="0" borderId="10" xfId="4" applyBorder="1"/>
    <xf numFmtId="165" fontId="7" fillId="0" borderId="10" xfId="4" applyBorder="1" applyAlignment="1">
      <alignment horizontal="center"/>
    </xf>
    <xf numFmtId="2" fontId="7" fillId="0" borderId="10" xfId="4" applyNumberFormat="1" applyBorder="1"/>
    <xf numFmtId="164" fontId="9" fillId="0" borderId="0" xfId="4" applyNumberFormat="1" applyFont="1" applyBorder="1" applyAlignment="1">
      <alignment horizontal="center"/>
    </xf>
    <xf numFmtId="164" fontId="9" fillId="0" borderId="10" xfId="4" applyNumberFormat="1" applyFont="1" applyBorder="1" applyAlignment="1">
      <alignment horizontal="center"/>
    </xf>
    <xf numFmtId="165" fontId="8" fillId="0" borderId="0" xfId="4" applyFont="1"/>
    <xf numFmtId="165" fontId="8" fillId="0" borderId="0" xfId="4" applyFont="1" applyBorder="1" applyAlignment="1">
      <alignment horizontal="center" vertical="center"/>
    </xf>
    <xf numFmtId="165" fontId="8" fillId="0" borderId="0" xfId="4" applyFont="1" applyAlignment="1">
      <alignment horizontal="center" vertical="center"/>
    </xf>
    <xf numFmtId="0" fontId="0" fillId="0" borderId="0" xfId="0" applyFont="1" applyProtection="1"/>
    <xf numFmtId="0" fontId="10" fillId="0" borderId="0" xfId="0" applyFont="1" applyBorder="1" applyAlignment="1" applyProtection="1">
      <alignment vertical="center"/>
    </xf>
    <xf numFmtId="165" fontId="11" fillId="0" borderId="0" xfId="4" applyFont="1"/>
    <xf numFmtId="0" fontId="0" fillId="0" borderId="0" xfId="3" applyFont="1"/>
    <xf numFmtId="165" fontId="12" fillId="0" borderId="0" xfId="4" applyNumberFormat="1" applyFont="1" applyAlignment="1" applyProtection="1">
      <alignment horizontal="left"/>
    </xf>
    <xf numFmtId="2" fontId="11" fillId="0" borderId="10" xfId="4" applyNumberFormat="1" applyFont="1" applyBorder="1"/>
    <xf numFmtId="165" fontId="11" fillId="0" borderId="0" xfId="4" applyFont="1" applyBorder="1"/>
    <xf numFmtId="164" fontId="11" fillId="0" borderId="10" xfId="4" applyNumberFormat="1" applyFont="1" applyBorder="1"/>
    <xf numFmtId="165" fontId="11" fillId="0" borderId="10" xfId="4" applyFont="1" applyBorder="1"/>
    <xf numFmtId="164" fontId="11" fillId="0" borderId="0" xfId="4" applyNumberFormat="1" applyFont="1" applyBorder="1"/>
    <xf numFmtId="165" fontId="11" fillId="0" borderId="17" xfId="4" applyFont="1" applyBorder="1"/>
    <xf numFmtId="165" fontId="7" fillId="0" borderId="10" xfId="4" applyBorder="1" applyAlignment="1">
      <alignment horizontal="center"/>
    </xf>
    <xf numFmtId="2" fontId="11" fillId="0" borderId="0" xfId="4" applyNumberFormat="1" applyFont="1" applyBorder="1"/>
    <xf numFmtId="2" fontId="0" fillId="0" borderId="10" xfId="3" applyNumberFormat="1" applyFont="1" applyBorder="1" applyAlignment="1">
      <alignment horizontal="right"/>
    </xf>
    <xf numFmtId="2" fontId="11" fillId="0" borderId="0" xfId="4" applyNumberFormat="1" applyFont="1" applyBorder="1" applyAlignment="1">
      <alignment horizontal="right"/>
    </xf>
    <xf numFmtId="0" fontId="0" fillId="0" borderId="10" xfId="3" applyFont="1" applyBorder="1" applyAlignment="1"/>
    <xf numFmtId="0" fontId="1" fillId="0" borderId="10" xfId="1" applyFont="1" applyFill="1" applyBorder="1" applyAlignment="1" applyProtection="1">
      <alignment horizontal="center"/>
      <protection locked="0"/>
    </xf>
    <xf numFmtId="0" fontId="0" fillId="0" borderId="10" xfId="3" applyFont="1" applyBorder="1"/>
    <xf numFmtId="165" fontId="11" fillId="0" borderId="10" xfId="4" applyFont="1" applyBorder="1" applyAlignment="1">
      <alignment horizontal="center"/>
    </xf>
    <xf numFmtId="165" fontId="11" fillId="0" borderId="10" xfId="4" applyFont="1" applyFill="1" applyBorder="1" applyAlignment="1">
      <alignment horizontal="center"/>
    </xf>
    <xf numFmtId="2" fontId="11" fillId="4" borderId="16" xfId="4" applyNumberFormat="1" applyFont="1" applyFill="1" applyBorder="1"/>
    <xf numFmtId="0" fontId="13" fillId="0" borderId="0" xfId="0" applyFont="1" applyProtection="1"/>
    <xf numFmtId="165" fontId="7" fillId="0" borderId="0" xfId="4" applyFont="1"/>
    <xf numFmtId="2" fontId="11" fillId="0" borderId="10" xfId="4" applyNumberFormat="1" applyFont="1" applyBorder="1" applyAlignment="1">
      <alignment horizontal="right"/>
    </xf>
    <xf numFmtId="0" fontId="0" fillId="0" borderId="10" xfId="0" applyFont="1" applyBorder="1" applyProtection="1"/>
    <xf numFmtId="2" fontId="11" fillId="4" borderId="10" xfId="4" applyNumberFormat="1" applyFont="1" applyFill="1" applyBorder="1" applyAlignment="1">
      <alignment horizontal="right"/>
    </xf>
    <xf numFmtId="2" fontId="0" fillId="4" borderId="10" xfId="3" applyNumberFormat="1" applyFont="1" applyFill="1" applyBorder="1" applyAlignment="1">
      <alignment horizontal="right"/>
    </xf>
    <xf numFmtId="165" fontId="11" fillId="0" borderId="0" xfId="4" applyFont="1" applyBorder="1" applyAlignment="1">
      <alignment horizontal="center"/>
    </xf>
    <xf numFmtId="2" fontId="11" fillId="0" borderId="0" xfId="4" applyNumberFormat="1" applyFont="1" applyFill="1" applyBorder="1"/>
    <xf numFmtId="0" fontId="0" fillId="0" borderId="0" xfId="3" applyFont="1" applyAlignment="1">
      <alignment horizontal="center"/>
    </xf>
    <xf numFmtId="0" fontId="5" fillId="0" borderId="0" xfId="0" applyFont="1" applyProtection="1"/>
    <xf numFmtId="165" fontId="12" fillId="0" borderId="21" xfId="4" applyNumberFormat="1" applyFont="1" applyBorder="1" applyAlignment="1" applyProtection="1">
      <alignment horizontal="left"/>
    </xf>
    <xf numFmtId="0" fontId="0" fillId="0" borderId="22" xfId="0" applyFont="1" applyBorder="1" applyProtection="1"/>
    <xf numFmtId="165" fontId="11" fillId="0" borderId="21" xfId="4" applyFont="1" applyBorder="1"/>
    <xf numFmtId="165" fontId="11" fillId="0" borderId="0" xfId="4" applyFont="1" applyBorder="1" applyAlignment="1">
      <alignment horizontal="center"/>
    </xf>
    <xf numFmtId="165" fontId="11" fillId="0" borderId="23" xfId="4" applyFont="1" applyBorder="1"/>
    <xf numFmtId="165" fontId="11" fillId="0" borderId="24" xfId="4" applyFont="1" applyBorder="1"/>
    <xf numFmtId="0" fontId="0" fillId="0" borderId="25" xfId="0" applyFont="1" applyBorder="1" applyProtection="1"/>
    <xf numFmtId="0" fontId="6" fillId="0" borderId="0" xfId="3" applyFont="1" applyFill="1"/>
    <xf numFmtId="0" fontId="6" fillId="0" borderId="0" xfId="3" applyFont="1" applyFill="1" applyAlignment="1">
      <alignment horizontal="center"/>
    </xf>
    <xf numFmtId="0" fontId="6" fillId="0" borderId="0" xfId="0" applyFont="1" applyFill="1" applyProtection="1"/>
    <xf numFmtId="0" fontId="0" fillId="0" borderId="0" xfId="0" applyFill="1"/>
    <xf numFmtId="165" fontId="11" fillId="0" borderId="0" xfId="4" applyFont="1" applyBorder="1" applyAlignment="1">
      <alignment horizontal="center" vertical="center"/>
    </xf>
    <xf numFmtId="165" fontId="11" fillId="0" borderId="24" xfId="4" applyFont="1" applyBorder="1" applyAlignment="1">
      <alignment horizontal="center"/>
    </xf>
    <xf numFmtId="2" fontId="11" fillId="0" borderId="24" xfId="4" applyNumberFormat="1" applyFont="1" applyFill="1" applyBorder="1"/>
    <xf numFmtId="0" fontId="0" fillId="0" borderId="0" xfId="3" applyFont="1" applyAlignment="1">
      <alignment horizontal="center"/>
    </xf>
    <xf numFmtId="165" fontId="11" fillId="0" borderId="0" xfId="4" applyFont="1" applyBorder="1" applyAlignment="1">
      <alignment horizontal="center"/>
    </xf>
    <xf numFmtId="9" fontId="0" fillId="0" borderId="10" xfId="7" applyFont="1" applyBorder="1" applyAlignment="1" applyProtection="1">
      <alignment horizontal="center"/>
    </xf>
    <xf numFmtId="0" fontId="1" fillId="2" borderId="5" xfId="1" applyFont="1" applyBorder="1" applyAlignment="1" applyProtection="1">
      <alignment horizontal="center" vertical="center"/>
      <protection locked="0"/>
    </xf>
    <xf numFmtId="0" fontId="0" fillId="0" borderId="0" xfId="0" applyFont="1" applyBorder="1" applyProtection="1"/>
    <xf numFmtId="0" fontId="1" fillId="2" borderId="5" xfId="1" applyFont="1" applyBorder="1" applyAlignment="1" applyProtection="1">
      <alignment horizontal="center"/>
      <protection locked="0"/>
    </xf>
    <xf numFmtId="0" fontId="0" fillId="0" borderId="24" xfId="0" applyFont="1" applyBorder="1" applyProtection="1"/>
    <xf numFmtId="0" fontId="0" fillId="0" borderId="0" xfId="0" applyFont="1" applyFill="1" applyProtection="1"/>
    <xf numFmtId="0" fontId="0" fillId="0" borderId="0" xfId="3" applyFont="1" applyBorder="1" applyAlignment="1">
      <alignment horizontal="left"/>
    </xf>
    <xf numFmtId="0" fontId="1" fillId="2" borderId="19" xfId="1" applyFont="1" applyBorder="1" applyAlignment="1" applyProtection="1">
      <alignment horizontal="center"/>
      <protection locked="0"/>
    </xf>
    <xf numFmtId="0" fontId="0" fillId="5" borderId="0" xfId="0" applyFont="1" applyFill="1" applyProtection="1"/>
    <xf numFmtId="0" fontId="3" fillId="0" borderId="0" xfId="0" applyFont="1" applyBorder="1" applyProtection="1"/>
    <xf numFmtId="0" fontId="13" fillId="0" borderId="0" xfId="3" applyFont="1" applyBorder="1" applyAlignment="1" applyProtection="1">
      <alignment horizontal="right"/>
      <protection locked="0"/>
    </xf>
    <xf numFmtId="2" fontId="1" fillId="2" borderId="5" xfId="1" applyNumberFormat="1" applyFont="1" applyBorder="1" applyAlignment="1" applyProtection="1">
      <alignment horizontal="center"/>
      <protection locked="0"/>
    </xf>
    <xf numFmtId="0" fontId="5" fillId="0" borderId="0" xfId="3" applyFont="1" applyBorder="1" applyAlignment="1">
      <alignment horizontal="center" vertical="center"/>
    </xf>
    <xf numFmtId="0" fontId="5" fillId="0" borderId="0" xfId="0" applyFont="1" applyAlignment="1" applyProtection="1">
      <alignment horizontal="left"/>
    </xf>
    <xf numFmtId="0" fontId="14" fillId="0" borderId="21" xfId="0" applyFont="1" applyBorder="1" applyProtection="1"/>
    <xf numFmtId="0" fontId="5" fillId="0" borderId="0" xfId="0" applyFont="1" applyBorder="1" applyProtection="1"/>
    <xf numFmtId="0" fontId="20" fillId="0" borderId="0" xfId="0" applyFont="1" applyBorder="1" applyAlignment="1" applyProtection="1">
      <alignment vertical="center"/>
    </xf>
    <xf numFmtId="0" fontId="5" fillId="0" borderId="24" xfId="0" applyFont="1" applyBorder="1" applyProtection="1"/>
    <xf numFmtId="0" fontId="18" fillId="0" borderId="0" xfId="3" applyFont="1" applyBorder="1" applyAlignment="1" applyProtection="1">
      <alignment horizontal="right"/>
      <protection locked="0"/>
    </xf>
    <xf numFmtId="165" fontId="21" fillId="0" borderId="0" xfId="4" applyFont="1" applyBorder="1"/>
    <xf numFmtId="165" fontId="21" fillId="0" borderId="0" xfId="4" applyFont="1" applyBorder="1" applyAlignment="1">
      <alignment horizontal="center" vertical="center"/>
    </xf>
    <xf numFmtId="9" fontId="0" fillId="0" borderId="10" xfId="7" applyFont="1" applyBorder="1" applyAlignment="1" applyProtection="1">
      <alignment horizontal="center"/>
    </xf>
    <xf numFmtId="165" fontId="21" fillId="0" borderId="0" xfId="4" applyFont="1" applyBorder="1" applyAlignment="1">
      <alignment horizontal="center"/>
    </xf>
    <xf numFmtId="0" fontId="4" fillId="0" borderId="0" xfId="0" applyFont="1" applyAlignment="1" applyProtection="1">
      <alignment horizontal="right"/>
    </xf>
    <xf numFmtId="0" fontId="14" fillId="0" borderId="0" xfId="0" applyFont="1" applyFill="1" applyBorder="1" applyAlignment="1" applyProtection="1">
      <alignment horizontal="center"/>
    </xf>
    <xf numFmtId="0" fontId="17" fillId="0" borderId="21" xfId="0" applyFont="1" applyFill="1" applyBorder="1" applyAlignment="1" applyProtection="1">
      <alignment horizontal="left"/>
    </xf>
    <xf numFmtId="0" fontId="17" fillId="0" borderId="21" xfId="0" applyFont="1" applyBorder="1" applyProtection="1"/>
    <xf numFmtId="0" fontId="1" fillId="2" borderId="0" xfId="1" applyFont="1" applyBorder="1" applyAlignment="1" applyProtection="1">
      <alignment horizontal="center"/>
      <protection locked="0"/>
    </xf>
    <xf numFmtId="0" fontId="23" fillId="0" borderId="0" xfId="0" applyFont="1" applyBorder="1" applyProtection="1"/>
    <xf numFmtId="0" fontId="14" fillId="0" borderId="21" xfId="0" applyFont="1" applyFill="1" applyBorder="1" applyAlignment="1" applyProtection="1">
      <alignment horizontal="center"/>
    </xf>
    <xf numFmtId="0" fontId="14" fillId="0" borderId="22" xfId="0" applyFont="1" applyFill="1" applyBorder="1" applyAlignment="1" applyProtection="1">
      <alignment horizontal="center"/>
    </xf>
    <xf numFmtId="165" fontId="12" fillId="0" borderId="21" xfId="4" applyFont="1" applyFill="1" applyBorder="1" applyAlignment="1">
      <alignment horizontal="center"/>
    </xf>
    <xf numFmtId="165" fontId="12" fillId="0" borderId="0" xfId="4" applyFont="1" applyFill="1" applyBorder="1" applyAlignment="1">
      <alignment horizontal="center"/>
    </xf>
    <xf numFmtId="165" fontId="11" fillId="0" borderId="0" xfId="4" applyFont="1" applyFill="1" applyBorder="1"/>
    <xf numFmtId="0" fontId="0" fillId="0" borderId="22" xfId="0" applyFont="1" applyFill="1" applyBorder="1" applyProtection="1"/>
    <xf numFmtId="165" fontId="11" fillId="0" borderId="0" xfId="4" applyFont="1" applyBorder="1" applyAlignment="1"/>
    <xf numFmtId="165" fontId="21" fillId="0" borderId="0" xfId="4" applyFont="1" applyBorder="1" applyAlignment="1"/>
    <xf numFmtId="2" fontId="21" fillId="0" borderId="0" xfId="4" applyNumberFormat="1" applyFont="1" applyBorder="1" applyAlignment="1"/>
    <xf numFmtId="164" fontId="11" fillId="0" borderId="0" xfId="4" applyNumberFormat="1" applyFont="1" applyBorder="1" applyAlignment="1">
      <alignment horizontal="center"/>
    </xf>
    <xf numFmtId="165" fontId="21" fillId="0" borderId="24" xfId="4" applyFont="1" applyBorder="1"/>
    <xf numFmtId="0" fontId="0" fillId="0" borderId="21" xfId="0" applyFont="1" applyBorder="1" applyProtection="1"/>
    <xf numFmtId="2" fontId="11" fillId="0" borderId="0" xfId="4" applyNumberFormat="1" applyFont="1" applyBorder="1" applyAlignment="1">
      <alignment horizontal="center"/>
    </xf>
    <xf numFmtId="0" fontId="0" fillId="0" borderId="23" xfId="0" applyFont="1" applyBorder="1" applyProtection="1"/>
    <xf numFmtId="165" fontId="24" fillId="0" borderId="0" xfId="4" applyFont="1" applyBorder="1"/>
    <xf numFmtId="9" fontId="0" fillId="0" borderId="10" xfId="7" applyFont="1" applyBorder="1" applyAlignment="1" applyProtection="1">
      <alignment horizontal="center"/>
    </xf>
    <xf numFmtId="0" fontId="1" fillId="2" borderId="26" xfId="1" applyFont="1" applyBorder="1" applyAlignment="1" applyProtection="1">
      <alignment horizontal="center"/>
      <protection locked="0"/>
    </xf>
    <xf numFmtId="0" fontId="0" fillId="5" borderId="20" xfId="0" applyFont="1" applyFill="1" applyBorder="1" applyProtection="1"/>
    <xf numFmtId="165" fontId="26" fillId="0" borderId="0" xfId="4" applyFont="1" applyBorder="1" applyAlignment="1">
      <alignment horizontal="center"/>
    </xf>
    <xf numFmtId="165" fontId="26" fillId="0" borderId="0" xfId="4" applyFont="1" applyBorder="1"/>
    <xf numFmtId="0" fontId="22" fillId="5" borderId="0" xfId="0" applyFont="1" applyFill="1" applyBorder="1" applyProtection="1"/>
    <xf numFmtId="165" fontId="21" fillId="0" borderId="0" xfId="4" applyFont="1" applyBorder="1" applyAlignment="1">
      <alignment horizontal="center"/>
    </xf>
    <xf numFmtId="166" fontId="1" fillId="2" borderId="10" xfId="1" applyNumberFormat="1" applyBorder="1" applyAlignment="1" applyProtection="1">
      <alignment horizontal="center" vertical="center"/>
      <protection locked="0"/>
    </xf>
    <xf numFmtId="0" fontId="1" fillId="2" borderId="10" xfId="1" applyNumberFormat="1" applyBorder="1" applyAlignment="1" applyProtection="1">
      <alignment horizontal="center" vertical="center"/>
      <protection locked="0"/>
    </xf>
    <xf numFmtId="0" fontId="27" fillId="0" borderId="0" xfId="0" applyFont="1" applyBorder="1" applyProtection="1"/>
    <xf numFmtId="0" fontId="28" fillId="0" borderId="0" xfId="0" applyFont="1" applyBorder="1" applyProtection="1"/>
    <xf numFmtId="0" fontId="22" fillId="0" borderId="0" xfId="0" applyFont="1" applyBorder="1" applyProtection="1"/>
    <xf numFmtId="0" fontId="13" fillId="0" borderId="24" xfId="0" applyFont="1" applyBorder="1" applyProtection="1"/>
    <xf numFmtId="2" fontId="11" fillId="0" borderId="10" xfId="4" applyNumberFormat="1" applyFont="1" applyFill="1" applyBorder="1" applyAlignment="1">
      <alignment horizontal="right"/>
    </xf>
    <xf numFmtId="165" fontId="11" fillId="0" borderId="0" xfId="4" applyFont="1" applyProtection="1"/>
    <xf numFmtId="165" fontId="21" fillId="0" borderId="0" xfId="4" applyFont="1" applyProtection="1"/>
    <xf numFmtId="0" fontId="5" fillId="5" borderId="0" xfId="3" applyFont="1" applyFill="1" applyProtection="1"/>
    <xf numFmtId="0" fontId="0" fillId="5" borderId="0" xfId="3" applyFont="1" applyFill="1" applyProtection="1"/>
    <xf numFmtId="0" fontId="5" fillId="5" borderId="0" xfId="3" applyFont="1" applyFill="1" applyAlignment="1" applyProtection="1">
      <alignment horizontal="center"/>
    </xf>
    <xf numFmtId="0" fontId="0" fillId="5" borderId="0" xfId="3" applyFont="1" applyFill="1" applyAlignment="1" applyProtection="1">
      <alignment horizontal="center"/>
    </xf>
    <xf numFmtId="165" fontId="11" fillId="5" borderId="0" xfId="4" applyFont="1" applyFill="1" applyProtection="1"/>
    <xf numFmtId="165" fontId="11" fillId="0" borderId="0" xfId="4" applyFont="1" applyBorder="1" applyProtection="1"/>
    <xf numFmtId="165" fontId="21" fillId="0" borderId="0" xfId="4" applyFont="1" applyBorder="1" applyProtection="1"/>
    <xf numFmtId="0" fontId="5" fillId="0" borderId="0" xfId="3" applyFont="1" applyBorder="1" applyProtection="1"/>
    <xf numFmtId="0" fontId="0" fillId="0" borderId="0" xfId="3" applyFont="1" applyBorder="1" applyProtection="1"/>
    <xf numFmtId="0" fontId="5" fillId="0" borderId="0" xfId="3" applyFont="1" applyBorder="1" applyAlignment="1" applyProtection="1">
      <alignment horizontal="center"/>
    </xf>
    <xf numFmtId="0" fontId="0" fillId="0" borderId="0" xfId="3" applyFont="1" applyBorder="1" applyAlignment="1" applyProtection="1">
      <alignment horizontal="center"/>
    </xf>
    <xf numFmtId="0" fontId="5" fillId="0" borderId="21" xfId="3" applyFont="1" applyBorder="1" applyProtection="1"/>
    <xf numFmtId="0" fontId="17" fillId="0" borderId="21" xfId="3" applyFont="1" applyBorder="1" applyProtection="1"/>
    <xf numFmtId="0" fontId="0" fillId="0" borderId="0" xfId="3" applyFont="1" applyBorder="1" applyAlignment="1" applyProtection="1">
      <alignment horizontal="center" vertical="center" wrapText="1"/>
    </xf>
    <xf numFmtId="0" fontId="0" fillId="0" borderId="22" xfId="3" applyFont="1" applyBorder="1" applyAlignment="1" applyProtection="1"/>
    <xf numFmtId="0" fontId="5" fillId="0" borderId="0" xfId="3" applyFont="1" applyBorder="1" applyAlignment="1" applyProtection="1"/>
    <xf numFmtId="0" fontId="0" fillId="0" borderId="0" xfId="3" applyFont="1" applyBorder="1" applyAlignment="1" applyProtection="1"/>
    <xf numFmtId="0" fontId="0" fillId="0" borderId="22" xfId="3" applyFont="1" applyBorder="1" applyProtection="1"/>
    <xf numFmtId="0" fontId="5" fillId="0" borderId="23" xfId="3" applyFont="1" applyBorder="1" applyProtection="1"/>
    <xf numFmtId="0" fontId="5" fillId="0" borderId="24" xfId="3" applyFont="1" applyBorder="1" applyProtection="1"/>
    <xf numFmtId="0" fontId="0" fillId="0" borderId="24" xfId="3" applyFont="1" applyBorder="1" applyProtection="1"/>
    <xf numFmtId="9" fontId="3" fillId="0" borderId="11" xfId="5" applyFont="1" applyBorder="1" applyAlignment="1" applyProtection="1">
      <alignment horizontal="center"/>
    </xf>
    <xf numFmtId="0" fontId="0" fillId="0" borderId="24" xfId="3" applyFont="1" applyBorder="1" applyAlignment="1" applyProtection="1">
      <alignment horizontal="center"/>
    </xf>
    <xf numFmtId="0" fontId="5" fillId="5" borderId="27" xfId="3" applyFont="1" applyFill="1" applyBorder="1" applyProtection="1"/>
    <xf numFmtId="0" fontId="5" fillId="5" borderId="20" xfId="3" applyFont="1" applyFill="1" applyBorder="1" applyProtection="1"/>
    <xf numFmtId="0" fontId="0" fillId="5" borderId="20" xfId="3" applyFont="1" applyFill="1" applyBorder="1" applyProtection="1"/>
    <xf numFmtId="0" fontId="5" fillId="5" borderId="20" xfId="3" applyFont="1" applyFill="1" applyBorder="1" applyAlignment="1" applyProtection="1">
      <alignment horizontal="center"/>
    </xf>
    <xf numFmtId="0" fontId="0" fillId="5" borderId="20" xfId="3" applyFont="1" applyFill="1" applyBorder="1" applyAlignment="1" applyProtection="1">
      <alignment horizontal="center"/>
    </xf>
    <xf numFmtId="165" fontId="11" fillId="5" borderId="28" xfId="4" applyFont="1" applyFill="1" applyBorder="1" applyProtection="1"/>
    <xf numFmtId="0" fontId="13" fillId="0" borderId="22" xfId="3" applyFont="1" applyBorder="1" applyProtection="1"/>
    <xf numFmtId="0" fontId="0" fillId="0" borderId="0" xfId="3" applyFont="1" applyBorder="1" applyAlignment="1" applyProtection="1">
      <alignment horizontal="left"/>
    </xf>
    <xf numFmtId="0" fontId="13" fillId="0" borderId="0" xfId="3" applyFont="1" applyBorder="1" applyAlignment="1" applyProtection="1">
      <alignment horizontal="center"/>
    </xf>
    <xf numFmtId="0" fontId="13" fillId="0" borderId="0" xfId="3" applyFont="1" applyBorder="1" applyProtection="1"/>
    <xf numFmtId="9" fontId="3" fillId="0" borderId="9" xfId="5" applyFont="1" applyBorder="1" applyAlignment="1" applyProtection="1">
      <alignment horizontal="center"/>
    </xf>
    <xf numFmtId="0" fontId="13" fillId="0" borderId="24" xfId="3" applyFont="1" applyBorder="1" applyAlignment="1" applyProtection="1">
      <alignment horizontal="center"/>
    </xf>
    <xf numFmtId="0" fontId="13" fillId="0" borderId="24" xfId="3" applyFont="1" applyBorder="1" applyProtection="1"/>
    <xf numFmtId="0" fontId="13" fillId="0" borderId="25" xfId="3" applyFont="1" applyBorder="1" applyProtection="1"/>
    <xf numFmtId="0" fontId="22" fillId="5" borderId="0" xfId="3" applyFont="1" applyFill="1" applyBorder="1" applyProtection="1"/>
    <xf numFmtId="0" fontId="13" fillId="5" borderId="0" xfId="3" applyFont="1" applyFill="1" applyBorder="1" applyProtection="1"/>
    <xf numFmtId="0" fontId="13" fillId="5" borderId="0" xfId="3" applyFont="1" applyFill="1" applyBorder="1" applyAlignment="1" applyProtection="1">
      <alignment horizontal="center"/>
    </xf>
    <xf numFmtId="0" fontId="13" fillId="5" borderId="22" xfId="3" applyFont="1" applyFill="1" applyBorder="1" applyProtection="1"/>
    <xf numFmtId="0" fontId="5" fillId="5" borderId="23" xfId="3" applyFont="1" applyFill="1" applyBorder="1" applyProtection="1"/>
    <xf numFmtId="0" fontId="5" fillId="5" borderId="24" xfId="3" applyFont="1" applyFill="1" applyBorder="1" applyProtection="1"/>
    <xf numFmtId="0" fontId="6" fillId="5" borderId="24" xfId="3" applyFont="1" applyFill="1" applyBorder="1" applyProtection="1"/>
    <xf numFmtId="0" fontId="5" fillId="5" borderId="24" xfId="3" applyFont="1" applyFill="1" applyBorder="1" applyAlignment="1" applyProtection="1">
      <alignment horizontal="center"/>
    </xf>
    <xf numFmtId="0" fontId="6" fillId="5" borderId="24" xfId="3" applyFont="1" applyFill="1" applyBorder="1" applyAlignment="1" applyProtection="1">
      <alignment horizontal="center"/>
    </xf>
    <xf numFmtId="0" fontId="6" fillId="5" borderId="25" xfId="3" applyFont="1" applyFill="1" applyBorder="1" applyProtection="1"/>
    <xf numFmtId="0" fontId="3" fillId="0" borderId="0" xfId="3" applyFont="1" applyBorder="1" applyProtection="1"/>
    <xf numFmtId="0" fontId="3" fillId="0" borderId="22" xfId="3" applyFont="1" applyBorder="1" applyProtection="1"/>
    <xf numFmtId="0" fontId="25" fillId="3" borderId="5" xfId="2" applyFont="1" applyAlignment="1" applyProtection="1">
      <alignment horizontal="center"/>
    </xf>
    <xf numFmtId="0" fontId="5" fillId="0" borderId="0" xfId="3" applyFont="1" applyBorder="1" applyAlignment="1" applyProtection="1">
      <alignment horizontal="right"/>
    </xf>
    <xf numFmtId="0" fontId="3" fillId="0" borderId="0" xfId="3" applyFont="1" applyBorder="1" applyAlignment="1" applyProtection="1">
      <alignment horizontal="center"/>
    </xf>
    <xf numFmtId="0" fontId="6" fillId="0" borderId="0" xfId="3" applyFont="1" applyBorder="1" applyProtection="1"/>
    <xf numFmtId="0" fontId="6" fillId="0" borderId="22" xfId="3" applyFont="1" applyBorder="1" applyProtection="1"/>
    <xf numFmtId="0" fontId="23" fillId="0" borderId="0" xfId="3" applyFont="1" applyBorder="1" applyProtection="1"/>
    <xf numFmtId="0" fontId="23" fillId="0" borderId="22" xfId="3" applyFont="1" applyBorder="1" applyProtection="1"/>
    <xf numFmtId="0" fontId="3" fillId="0" borderId="0" xfId="3" applyFont="1" applyBorder="1" applyAlignment="1" applyProtection="1">
      <alignment horizontal="left"/>
    </xf>
    <xf numFmtId="0" fontId="3" fillId="0" borderId="0" xfId="3" applyFont="1" applyFill="1" applyBorder="1" applyAlignment="1" applyProtection="1">
      <alignment vertical="center" wrapText="1"/>
    </xf>
    <xf numFmtId="0" fontId="5" fillId="0" borderId="0" xfId="3" applyFont="1" applyFill="1" applyBorder="1" applyProtection="1"/>
    <xf numFmtId="0" fontId="0" fillId="0" borderId="0" xfId="3" applyFont="1" applyFill="1" applyBorder="1" applyAlignment="1" applyProtection="1">
      <alignment horizontal="center"/>
    </xf>
    <xf numFmtId="0" fontId="22" fillId="0" borderId="0" xfId="3" applyFont="1" applyBorder="1" applyAlignment="1" applyProtection="1">
      <alignment horizontal="right"/>
    </xf>
    <xf numFmtId="0" fontId="18" fillId="0" borderId="0" xfId="3" applyFont="1" applyFill="1" applyBorder="1" applyProtection="1"/>
    <xf numFmtId="0" fontId="3" fillId="0" borderId="0" xfId="3" applyFont="1" applyBorder="1" applyAlignment="1" applyProtection="1">
      <alignment vertical="center" wrapText="1"/>
    </xf>
    <xf numFmtId="0" fontId="18" fillId="0" borderId="0" xfId="3" applyFont="1" applyBorder="1" applyAlignment="1" applyProtection="1">
      <alignment horizontal="right"/>
    </xf>
    <xf numFmtId="0" fontId="13" fillId="0" borderId="0" xfId="3" applyFont="1" applyBorder="1" applyAlignment="1" applyProtection="1">
      <alignment vertical="center" wrapText="1"/>
    </xf>
    <xf numFmtId="0" fontId="13" fillId="0" borderId="22" xfId="3" applyFont="1" applyBorder="1" applyAlignment="1" applyProtection="1">
      <alignment vertical="center" wrapText="1"/>
    </xf>
    <xf numFmtId="0" fontId="5" fillId="0" borderId="21" xfId="1" applyFont="1" applyFill="1" applyBorder="1" applyAlignment="1" applyProtection="1">
      <alignment horizontal="left"/>
    </xf>
    <xf numFmtId="0" fontId="16" fillId="0" borderId="0" xfId="3" applyFont="1" applyBorder="1" applyAlignment="1" applyProtection="1">
      <alignment horizontal="center"/>
    </xf>
    <xf numFmtId="0" fontId="5" fillId="0" borderId="24" xfId="3" applyFont="1" applyBorder="1" applyAlignment="1" applyProtection="1">
      <alignment horizontal="center"/>
    </xf>
    <xf numFmtId="0" fontId="0" fillId="0" borderId="0" xfId="3" applyFont="1" applyProtection="1"/>
    <xf numFmtId="0" fontId="5" fillId="0" borderId="0" xfId="3" applyFont="1" applyAlignment="1" applyProtection="1">
      <alignment horizontal="center"/>
    </xf>
    <xf numFmtId="0" fontId="0" fillId="0" borderId="0" xfId="3" applyFont="1" applyAlignment="1" applyProtection="1">
      <alignment horizontal="center"/>
    </xf>
    <xf numFmtId="0" fontId="13" fillId="0" borderId="0" xfId="3" applyFont="1" applyAlignment="1" applyProtection="1">
      <alignment horizontal="center"/>
    </xf>
    <xf numFmtId="0" fontId="13" fillId="0" borderId="0" xfId="3" applyFont="1" applyProtection="1"/>
    <xf numFmtId="165" fontId="11" fillId="0" borderId="0" xfId="4" applyFont="1" applyAlignment="1" applyProtection="1"/>
    <xf numFmtId="165" fontId="11" fillId="0" borderId="0" xfId="4" applyFont="1" applyAlignment="1" applyProtection="1">
      <alignment horizontal="center"/>
    </xf>
    <xf numFmtId="165" fontId="21" fillId="0" borderId="0" xfId="4" applyFont="1" applyAlignment="1" applyProtection="1">
      <alignment horizontal="center"/>
    </xf>
    <xf numFmtId="2" fontId="11" fillId="0" borderId="0" xfId="4" applyNumberFormat="1" applyFont="1" applyAlignment="1" applyProtection="1"/>
    <xf numFmtId="164" fontId="21" fillId="0" borderId="0" xfId="4" applyNumberFormat="1" applyFont="1" applyAlignment="1" applyProtection="1">
      <alignment horizontal="center"/>
    </xf>
    <xf numFmtId="0" fontId="13" fillId="5" borderId="0" xfId="3" applyFont="1" applyFill="1" applyAlignment="1" applyProtection="1">
      <alignment horizontal="center"/>
    </xf>
    <xf numFmtId="0" fontId="13" fillId="5" borderId="0" xfId="3" applyFont="1" applyFill="1" applyProtection="1"/>
    <xf numFmtId="0" fontId="5" fillId="0" borderId="21" xfId="3" applyFont="1" applyFill="1" applyBorder="1" applyProtection="1"/>
    <xf numFmtId="0" fontId="17" fillId="0" borderId="21" xfId="3" applyFont="1" applyFill="1" applyBorder="1" applyProtection="1"/>
    <xf numFmtId="0" fontId="5" fillId="0" borderId="21" xfId="3" applyFont="1" applyFill="1" applyBorder="1" applyAlignment="1" applyProtection="1"/>
    <xf numFmtId="0" fontId="17" fillId="0" borderId="21" xfId="3" applyFont="1" applyFill="1" applyBorder="1" applyAlignment="1" applyProtection="1"/>
    <xf numFmtId="0" fontId="5" fillId="0" borderId="21" xfId="0" applyFont="1" applyFill="1" applyBorder="1" applyProtection="1"/>
    <xf numFmtId="0" fontId="17" fillId="0" borderId="21" xfId="0" applyFont="1" applyFill="1" applyBorder="1" applyProtection="1"/>
    <xf numFmtId="0" fontId="14" fillId="0" borderId="21" xfId="3" applyFont="1" applyFill="1" applyBorder="1" applyProtection="1"/>
    <xf numFmtId="0" fontId="19" fillId="0" borderId="21" xfId="0" applyFont="1" applyFill="1" applyBorder="1" applyProtection="1"/>
    <xf numFmtId="0" fontId="14" fillId="0" borderId="21" xfId="0" applyFont="1" applyFill="1" applyBorder="1" applyProtection="1"/>
    <xf numFmtId="0" fontId="22" fillId="0" borderId="21" xfId="1" applyFont="1" applyFill="1" applyBorder="1" applyAlignment="1" applyProtection="1">
      <alignment horizontal="left"/>
    </xf>
    <xf numFmtId="0" fontId="5" fillId="0" borderId="0" xfId="3" applyFont="1" applyBorder="1" applyAlignment="1" applyProtection="1">
      <alignment horizontal="center"/>
      <protection locked="0"/>
    </xf>
    <xf numFmtId="0" fontId="0" fillId="0" borderId="0" xfId="3" applyFont="1" applyBorder="1" applyProtection="1">
      <protection locked="0"/>
    </xf>
    <xf numFmtId="0" fontId="0" fillId="0" borderId="0" xfId="3" applyFont="1" applyBorder="1" applyAlignment="1" applyProtection="1">
      <alignment horizontal="center"/>
      <protection locked="0"/>
    </xf>
    <xf numFmtId="0" fontId="13" fillId="0" borderId="0" xfId="3" applyFont="1" applyBorder="1" applyAlignment="1" applyProtection="1">
      <alignment horizontal="center"/>
      <protection locked="0"/>
    </xf>
    <xf numFmtId="0" fontId="0" fillId="0" borderId="0" xfId="3" applyFont="1" applyBorder="1" applyAlignment="1" applyProtection="1">
      <alignment horizontal="right"/>
      <protection locked="0"/>
    </xf>
    <xf numFmtId="0" fontId="0" fillId="0" borderId="0" xfId="0" applyFont="1" applyBorder="1" applyProtection="1">
      <protection locked="0"/>
    </xf>
    <xf numFmtId="165" fontId="7" fillId="0" borderId="0" xfId="4" applyAlignment="1">
      <alignment horizontal="center"/>
    </xf>
    <xf numFmtId="0" fontId="14" fillId="0" borderId="14" xfId="0" applyFont="1" applyFill="1" applyBorder="1" applyAlignment="1" applyProtection="1">
      <alignment horizontal="center"/>
    </xf>
    <xf numFmtId="0" fontId="14" fillId="0" borderId="15" xfId="0" applyFont="1" applyFill="1" applyBorder="1" applyAlignment="1" applyProtection="1">
      <alignment horizontal="center"/>
    </xf>
    <xf numFmtId="0" fontId="14" fillId="0" borderId="17" xfId="0" applyFont="1" applyFill="1" applyBorder="1" applyAlignment="1" applyProtection="1">
      <alignment horizontal="center"/>
    </xf>
    <xf numFmtId="0" fontId="14" fillId="0" borderId="13" xfId="0" applyFont="1" applyFill="1" applyBorder="1" applyAlignment="1" applyProtection="1">
      <alignment horizontal="center"/>
    </xf>
    <xf numFmtId="0" fontId="14" fillId="0" borderId="10" xfId="0" applyFont="1" applyFill="1" applyBorder="1" applyAlignment="1" applyProtection="1">
      <alignment horizontal="center"/>
    </xf>
    <xf numFmtId="0" fontId="14" fillId="0" borderId="12" xfId="0" applyFont="1" applyFill="1" applyBorder="1" applyAlignment="1" applyProtection="1">
      <alignment horizontal="center"/>
    </xf>
    <xf numFmtId="0" fontId="14" fillId="0" borderId="2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0" fillId="0" borderId="0" xfId="3" applyFont="1" applyBorder="1" applyAlignment="1" applyProtection="1">
      <alignment horizontal="center" vertical="center" wrapText="1"/>
    </xf>
    <xf numFmtId="0" fontId="0" fillId="0" borderId="22" xfId="3" applyFont="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13" fillId="0" borderId="22" xfId="3" applyFont="1" applyBorder="1" applyAlignment="1" applyProtection="1">
      <alignment horizontal="center" vertical="center" wrapText="1"/>
    </xf>
    <xf numFmtId="0" fontId="0" fillId="0" borderId="0" xfId="3" applyFont="1" applyBorder="1" applyAlignment="1" applyProtection="1">
      <alignment horizontal="center"/>
    </xf>
    <xf numFmtId="0" fontId="6" fillId="0" borderId="0" xfId="3" applyFont="1" applyBorder="1" applyAlignment="1" applyProtection="1">
      <alignment horizontal="center" vertical="center" wrapText="1"/>
    </xf>
    <xf numFmtId="0" fontId="6" fillId="0" borderId="22" xfId="3" applyFont="1" applyBorder="1" applyAlignment="1" applyProtection="1">
      <alignment horizontal="center" vertical="center" wrapText="1"/>
    </xf>
    <xf numFmtId="0" fontId="27" fillId="0" borderId="0" xfId="3" applyFont="1" applyBorder="1" applyAlignment="1" applyProtection="1">
      <alignment horizontal="center" vertical="center" wrapText="1"/>
    </xf>
    <xf numFmtId="0" fontId="27" fillId="0" borderId="22" xfId="3" applyFont="1" applyBorder="1" applyAlignment="1" applyProtection="1">
      <alignment horizontal="center" vertical="center" wrapText="1"/>
    </xf>
    <xf numFmtId="166" fontId="0" fillId="0" borderId="3" xfId="0" applyNumberFormat="1" applyFont="1" applyBorder="1" applyAlignment="1" applyProtection="1">
      <alignment horizontal="center"/>
    </xf>
    <xf numFmtId="0" fontId="0" fillId="0" borderId="3" xfId="0" applyNumberFormat="1" applyFont="1" applyBorder="1" applyAlignment="1" applyProtection="1">
      <alignment horizontal="center"/>
    </xf>
    <xf numFmtId="165" fontId="12" fillId="0" borderId="14" xfId="4" applyFont="1" applyFill="1" applyBorder="1" applyAlignment="1">
      <alignment horizontal="center"/>
    </xf>
    <xf numFmtId="165" fontId="12" fillId="0" borderId="15" xfId="4" applyFont="1" applyFill="1" applyBorder="1" applyAlignment="1">
      <alignment horizontal="center"/>
    </xf>
    <xf numFmtId="165" fontId="12" fillId="0" borderId="17" xfId="4" applyFont="1" applyFill="1" applyBorder="1" applyAlignment="1">
      <alignment horizontal="center"/>
    </xf>
    <xf numFmtId="165" fontId="21" fillId="0" borderId="0" xfId="4" applyFont="1" applyBorder="1" applyAlignment="1">
      <alignment horizontal="center"/>
    </xf>
    <xf numFmtId="165" fontId="12" fillId="0" borderId="14" xfId="4" applyFont="1" applyFill="1" applyBorder="1" applyAlignment="1">
      <alignment horizontal="center" vertical="center"/>
    </xf>
    <xf numFmtId="165" fontId="12" fillId="0" borderId="15" xfId="4" applyFont="1" applyFill="1" applyBorder="1" applyAlignment="1">
      <alignment horizontal="center" vertical="center"/>
    </xf>
    <xf numFmtId="165" fontId="12" fillId="0" borderId="17" xfId="4" applyFont="1" applyFill="1" applyBorder="1" applyAlignment="1">
      <alignment horizontal="center" vertical="center"/>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4" fillId="0" borderId="10" xfId="0" applyFont="1" applyBorder="1" applyAlignment="1" applyProtection="1">
      <alignment horizontal="center"/>
    </xf>
    <xf numFmtId="9" fontId="0" fillId="0" borderId="10" xfId="7" applyFont="1" applyBorder="1" applyAlignment="1" applyProtection="1">
      <alignment horizontal="center"/>
    </xf>
    <xf numFmtId="0" fontId="5" fillId="0" borderId="10" xfId="3" applyFont="1" applyBorder="1" applyAlignment="1">
      <alignment horizontal="center" vertical="center"/>
    </xf>
    <xf numFmtId="9" fontId="0" fillId="0" borderId="7" xfId="7" applyFont="1" applyBorder="1" applyAlignment="1" applyProtection="1">
      <alignment horizontal="center"/>
    </xf>
    <xf numFmtId="9" fontId="0" fillId="0" borderId="8" xfId="7" applyFont="1" applyBorder="1" applyAlignment="1" applyProtection="1">
      <alignment horizontal="center"/>
    </xf>
    <xf numFmtId="9" fontId="0" fillId="0" borderId="9" xfId="7" applyFont="1" applyBorder="1" applyAlignment="1" applyProtection="1">
      <alignment horizontal="center"/>
    </xf>
    <xf numFmtId="165" fontId="21" fillId="0" borderId="14" xfId="4" applyFont="1" applyBorder="1" applyAlignment="1">
      <alignment horizontal="center"/>
    </xf>
    <xf numFmtId="165" fontId="21" fillId="0" borderId="15" xfId="4" applyFont="1" applyBorder="1" applyAlignment="1">
      <alignment horizontal="center"/>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6" xfId="3" applyFont="1" applyBorder="1" applyAlignment="1">
      <alignment horizontal="center" vertical="center"/>
    </xf>
    <xf numFmtId="0" fontId="5" fillId="0" borderId="4" xfId="3" applyFont="1" applyBorder="1" applyAlignment="1">
      <alignment horizontal="center" vertical="center"/>
    </xf>
    <xf numFmtId="0" fontId="5" fillId="0" borderId="10" xfId="3" applyFont="1" applyBorder="1" applyAlignment="1">
      <alignment horizontal="center"/>
    </xf>
    <xf numFmtId="165" fontId="21" fillId="0" borderId="18" xfId="4" applyFont="1" applyBorder="1" applyAlignment="1">
      <alignment horizontal="center"/>
    </xf>
    <xf numFmtId="165" fontId="7" fillId="0" borderId="10" xfId="4" applyBorder="1" applyAlignment="1">
      <alignment horizontal="center"/>
    </xf>
  </cellXfs>
  <cellStyles count="8">
    <cellStyle name="Calculation" xfId="2" builtinId="22"/>
    <cellStyle name="Currency 2" xfId="6" xr:uid="{00000000-0005-0000-0000-000001000000}"/>
    <cellStyle name="Input" xfId="1" builtinId="20"/>
    <cellStyle name="Normal" xfId="0" builtinId="0"/>
    <cellStyle name="Normal 2" xfId="3" xr:uid="{00000000-0005-0000-0000-000004000000}"/>
    <cellStyle name="Normal 3" xfId="4" xr:uid="{00000000-0005-0000-0000-000005000000}"/>
    <cellStyle name="Percent" xfId="7" builtinId="5"/>
    <cellStyle name="Percent 2" xfId="5" xr:uid="{00000000-0005-0000-0000-000007000000}"/>
  </cellStyles>
  <dxfs count="72">
    <dxf>
      <font>
        <color theme="0"/>
      </font>
      <fill>
        <patternFill patternType="none">
          <bgColor auto="1"/>
        </patternFill>
      </fill>
      <border>
        <left/>
        <right/>
        <top/>
        <bottom/>
        <vertical/>
        <horizontal/>
      </border>
    </dxf>
    <dxf>
      <font>
        <color theme="0"/>
      </font>
      <fill>
        <patternFill patternType="none">
          <bgColor auto="1"/>
        </patternFill>
      </fill>
      <border>
        <left/>
        <right/>
        <top/>
        <bottom/>
      </border>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fill>
        <patternFill patternType="none">
          <bgColor auto="1"/>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patternType="none">
          <bgColor auto="1"/>
        </patternFill>
      </fill>
      <border>
        <left/>
        <right/>
        <top/>
        <bottom/>
        <vertical/>
        <horizontal/>
      </border>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0"/>
      </font>
      <fill>
        <patternFill patternType="none">
          <bgColor auto="1"/>
        </patternFill>
      </fill>
      <border>
        <left/>
        <right/>
        <top/>
        <bottom/>
        <vertical/>
        <horizontal/>
      </border>
    </dxf>
    <dxf>
      <font>
        <color rgb="FF9C0006"/>
      </font>
      <fill>
        <patternFill>
          <bgColor rgb="FFFFC7CE"/>
        </patternFill>
      </fill>
    </dxf>
    <dxf>
      <font>
        <color rgb="FF006100"/>
      </font>
      <fill>
        <patternFill>
          <bgColor rgb="FFC6EFCE"/>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color theme="0"/>
      </font>
      <fill>
        <patternFill patternType="none">
          <bgColor auto="1"/>
        </patternFill>
      </fill>
      <border>
        <left/>
        <right/>
        <top/>
        <bottom/>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border>
        <left style="thin">
          <color auto="1"/>
        </left>
        <right style="thin">
          <color auto="1"/>
        </right>
        <top style="thin">
          <color auto="1"/>
        </top>
        <bottom style="thin">
          <color auto="1"/>
        </bottom>
      </border>
    </dxf>
    <dxf>
      <font>
        <b val="0"/>
        <i val="0"/>
        <color auto="1"/>
      </font>
      <fill>
        <patternFill patternType="none">
          <fgColor indexed="64"/>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3F3F76"/>
      <color rgb="FF7F7F7F"/>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700520039502694E-2"/>
          <c:y val="8.8158159817068055E-3"/>
          <c:w val="0.95978257968567759"/>
          <c:h val="0.95236372207407416"/>
        </c:manualLayout>
      </c:layout>
      <c:scatterChart>
        <c:scatterStyle val="lineMarker"/>
        <c:varyColors val="0"/>
        <c:ser>
          <c:idx val="0"/>
          <c:order val="0"/>
          <c:tx>
            <c:strRef>
              <c:f>'Fire Resistance Lookup Graph'!$A$3</c:f>
              <c:strCache>
                <c:ptCount val="1"/>
                <c:pt idx="0">
                  <c:v>Calcareous or Siliceous Gravel</c:v>
                </c:pt>
              </c:strCache>
            </c:strRef>
          </c:tx>
          <c:spPr>
            <a:ln w="19050" cap="rnd">
              <a:solidFill>
                <a:schemeClr val="accent1"/>
              </a:solidFill>
              <a:round/>
            </a:ln>
            <a:effectLst/>
          </c:spPr>
          <c:marker>
            <c:symbol val="none"/>
          </c:marker>
          <c:trendline>
            <c:spPr>
              <a:ln w="19050" cap="rnd">
                <a:solidFill>
                  <a:schemeClr val="accent1"/>
                </a:solidFill>
                <a:prstDash val="sysDot"/>
              </a:ln>
              <a:effectLst/>
            </c:spPr>
            <c:trendlineType val="poly"/>
            <c:order val="2"/>
            <c:dispRSqr val="1"/>
            <c:dispEq val="1"/>
            <c:trendlineLbl>
              <c:layout>
                <c:manualLayout>
                  <c:x val="0.12551462049293571"/>
                  <c:y val="0.28619628513852502"/>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2400" baseline="0">
                        <a:solidFill>
                          <a:schemeClr val="accent1"/>
                        </a:solidFill>
                      </a:rPr>
                      <a:t>y = 0.0765x</a:t>
                    </a:r>
                    <a:r>
                      <a:rPr lang="en-US" sz="2400" baseline="30000">
                        <a:solidFill>
                          <a:schemeClr val="accent1"/>
                        </a:solidFill>
                      </a:rPr>
                      <a:t>2</a:t>
                    </a:r>
                    <a:r>
                      <a:rPr lang="en-US" sz="2400" baseline="0">
                        <a:solidFill>
                          <a:schemeClr val="accent1"/>
                        </a:solidFill>
                      </a:rPr>
                      <a:t> + 0.1955x - 0.1732</a:t>
                    </a:r>
                    <a:br>
                      <a:rPr lang="en-US" sz="2400" baseline="0">
                        <a:solidFill>
                          <a:schemeClr val="accent1"/>
                        </a:solidFill>
                      </a:rPr>
                    </a:br>
                    <a:r>
                      <a:rPr lang="en-US" sz="2400" baseline="0">
                        <a:solidFill>
                          <a:schemeClr val="accent1"/>
                        </a:solidFill>
                      </a:rPr>
                      <a:t>R² = 0.9996</a:t>
                    </a:r>
                    <a:endParaRPr lang="en-US" sz="2400">
                      <a:solidFill>
                        <a:schemeClr val="accent1"/>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'Fire Resistance Lookup Graph'!$B$3:$P$3</c:f>
              <c:numCache>
                <c:formatCode>0.0</c:formatCode>
                <c:ptCount val="15"/>
                <c:pt idx="0">
                  <c:v>6.2</c:v>
                </c:pt>
                <c:pt idx="1">
                  <c:v>6</c:v>
                </c:pt>
                <c:pt idx="2">
                  <c:v>5.8</c:v>
                </c:pt>
                <c:pt idx="3">
                  <c:v>5.5</c:v>
                </c:pt>
                <c:pt idx="4">
                  <c:v>5.3</c:v>
                </c:pt>
                <c:pt idx="5">
                  <c:v>5</c:v>
                </c:pt>
                <c:pt idx="6">
                  <c:v>4.8</c:v>
                </c:pt>
                <c:pt idx="7">
                  <c:v>4.5</c:v>
                </c:pt>
                <c:pt idx="8">
                  <c:v>4.2</c:v>
                </c:pt>
                <c:pt idx="9">
                  <c:v>3.9</c:v>
                </c:pt>
                <c:pt idx="10">
                  <c:v>3.6</c:v>
                </c:pt>
                <c:pt idx="11">
                  <c:v>3.2</c:v>
                </c:pt>
                <c:pt idx="12">
                  <c:v>2.8</c:v>
                </c:pt>
                <c:pt idx="13">
                  <c:v>2.4</c:v>
                </c:pt>
                <c:pt idx="14">
                  <c:v>2</c:v>
                </c:pt>
              </c:numCache>
            </c:numRef>
          </c:xVal>
          <c:yVal>
            <c:numRef>
              <c:f>'Fire Resistance Lookup Graph'!$B$2:$P$2</c:f>
              <c:numCache>
                <c:formatCode>General_)</c:formatCode>
                <c:ptCount val="15"/>
                <c:pt idx="0">
                  <c:v>4</c:v>
                </c:pt>
                <c:pt idx="1">
                  <c:v>3.75</c:v>
                </c:pt>
                <c:pt idx="2">
                  <c:v>3.5</c:v>
                </c:pt>
                <c:pt idx="3">
                  <c:v>3.25</c:v>
                </c:pt>
                <c:pt idx="4">
                  <c:v>3</c:v>
                </c:pt>
                <c:pt idx="5">
                  <c:v>2.75</c:v>
                </c:pt>
                <c:pt idx="6">
                  <c:v>2.5</c:v>
                </c:pt>
                <c:pt idx="7">
                  <c:v>2.25</c:v>
                </c:pt>
                <c:pt idx="8">
                  <c:v>2</c:v>
                </c:pt>
                <c:pt idx="9">
                  <c:v>1.75</c:v>
                </c:pt>
                <c:pt idx="10">
                  <c:v>1.5</c:v>
                </c:pt>
                <c:pt idx="11">
                  <c:v>1.25</c:v>
                </c:pt>
                <c:pt idx="12">
                  <c:v>1</c:v>
                </c:pt>
                <c:pt idx="13">
                  <c:v>0.75</c:v>
                </c:pt>
                <c:pt idx="14">
                  <c:v>0.5</c:v>
                </c:pt>
              </c:numCache>
            </c:numRef>
          </c:yVal>
          <c:smooth val="0"/>
          <c:extLst>
            <c:ext xmlns:c16="http://schemas.microsoft.com/office/drawing/2014/chart" uri="{C3380CC4-5D6E-409C-BE32-E72D297353CC}">
              <c16:uniqueId val="{00000000-EE40-40B5-B26F-B1C807E85CC9}"/>
            </c:ext>
          </c:extLst>
        </c:ser>
        <c:ser>
          <c:idx val="1"/>
          <c:order val="1"/>
          <c:tx>
            <c:strRef>
              <c:f>'Fire Resistance Lookup Graph'!$A$4</c:f>
              <c:strCache>
                <c:ptCount val="1"/>
                <c:pt idx="0">
                  <c:v>Limestone, Cinders or Unexpanded Slag</c:v>
                </c:pt>
              </c:strCache>
            </c:strRef>
          </c:tx>
          <c:spPr>
            <a:ln w="19050" cap="rnd">
              <a:solidFill>
                <a:schemeClr val="accent2"/>
              </a:solidFill>
              <a:round/>
            </a:ln>
            <a:effectLst/>
          </c:spPr>
          <c:marker>
            <c:symbol val="none"/>
          </c:marker>
          <c:trendline>
            <c:spPr>
              <a:ln w="19050" cap="rnd">
                <a:solidFill>
                  <a:schemeClr val="accent2"/>
                </a:solidFill>
                <a:prstDash val="sysDot"/>
              </a:ln>
              <a:effectLst/>
            </c:spPr>
            <c:trendlineType val="poly"/>
            <c:order val="2"/>
            <c:dispRSqr val="1"/>
            <c:dispEq val="1"/>
            <c:trendlineLbl>
              <c:layout>
                <c:manualLayout>
                  <c:x val="4.4195445615239394E-2"/>
                  <c:y val="0.54104266149295754"/>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2400" baseline="0">
                        <a:solidFill>
                          <a:srgbClr val="FF0000"/>
                        </a:solidFill>
                      </a:rPr>
                      <a:t>y = 0.0839x</a:t>
                    </a:r>
                    <a:r>
                      <a:rPr lang="en-US" sz="2400" baseline="30000">
                        <a:solidFill>
                          <a:srgbClr val="FF0000"/>
                        </a:solidFill>
                      </a:rPr>
                      <a:t>2</a:t>
                    </a:r>
                    <a:r>
                      <a:rPr lang="en-US" sz="2400" baseline="0">
                        <a:solidFill>
                          <a:srgbClr val="FF0000"/>
                        </a:solidFill>
                      </a:rPr>
                      <a:t> + 0.2192x - 0.2133</a:t>
                    </a:r>
                    <a:br>
                      <a:rPr lang="en-US" sz="2400" baseline="0">
                        <a:solidFill>
                          <a:srgbClr val="FF0000"/>
                        </a:solidFill>
                      </a:rPr>
                    </a:br>
                    <a:r>
                      <a:rPr lang="en-US" sz="2400" baseline="0">
                        <a:solidFill>
                          <a:srgbClr val="FF0000"/>
                        </a:solidFill>
                      </a:rPr>
                      <a:t>R² = 0.9996</a:t>
                    </a:r>
                    <a:endParaRPr lang="en-US" sz="2400">
                      <a:solidFill>
                        <a:srgbClr val="FF0000"/>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'Fire Resistance Lookup Graph'!$B$4:$P$4</c:f>
              <c:numCache>
                <c:formatCode>0.0</c:formatCode>
                <c:ptCount val="15"/>
                <c:pt idx="0">
                  <c:v>5.9</c:v>
                </c:pt>
                <c:pt idx="1">
                  <c:v>5.7</c:v>
                </c:pt>
                <c:pt idx="2">
                  <c:v>5.5</c:v>
                </c:pt>
                <c:pt idx="3">
                  <c:v>5.2</c:v>
                </c:pt>
                <c:pt idx="4">
                  <c:v>5</c:v>
                </c:pt>
                <c:pt idx="5">
                  <c:v>4.8</c:v>
                </c:pt>
                <c:pt idx="6">
                  <c:v>4.5</c:v>
                </c:pt>
                <c:pt idx="7">
                  <c:v>4.3</c:v>
                </c:pt>
                <c:pt idx="8">
                  <c:v>4</c:v>
                </c:pt>
                <c:pt idx="9">
                  <c:v>3.7</c:v>
                </c:pt>
                <c:pt idx="10">
                  <c:v>3.4</c:v>
                </c:pt>
                <c:pt idx="11">
                  <c:v>3.1</c:v>
                </c:pt>
                <c:pt idx="12">
                  <c:v>2.7</c:v>
                </c:pt>
                <c:pt idx="13">
                  <c:v>2.2999999999999998</c:v>
                </c:pt>
                <c:pt idx="14">
                  <c:v>1.9</c:v>
                </c:pt>
              </c:numCache>
            </c:numRef>
          </c:xVal>
          <c:yVal>
            <c:numRef>
              <c:f>'Fire Resistance Lookup Graph'!$B$2:$P$2</c:f>
              <c:numCache>
                <c:formatCode>General_)</c:formatCode>
                <c:ptCount val="15"/>
                <c:pt idx="0">
                  <c:v>4</c:v>
                </c:pt>
                <c:pt idx="1">
                  <c:v>3.75</c:v>
                </c:pt>
                <c:pt idx="2">
                  <c:v>3.5</c:v>
                </c:pt>
                <c:pt idx="3">
                  <c:v>3.25</c:v>
                </c:pt>
                <c:pt idx="4">
                  <c:v>3</c:v>
                </c:pt>
                <c:pt idx="5">
                  <c:v>2.75</c:v>
                </c:pt>
                <c:pt idx="6">
                  <c:v>2.5</c:v>
                </c:pt>
                <c:pt idx="7">
                  <c:v>2.25</c:v>
                </c:pt>
                <c:pt idx="8">
                  <c:v>2</c:v>
                </c:pt>
                <c:pt idx="9">
                  <c:v>1.75</c:v>
                </c:pt>
                <c:pt idx="10">
                  <c:v>1.5</c:v>
                </c:pt>
                <c:pt idx="11">
                  <c:v>1.25</c:v>
                </c:pt>
                <c:pt idx="12">
                  <c:v>1</c:v>
                </c:pt>
                <c:pt idx="13">
                  <c:v>0.75</c:v>
                </c:pt>
                <c:pt idx="14">
                  <c:v>0.5</c:v>
                </c:pt>
              </c:numCache>
            </c:numRef>
          </c:yVal>
          <c:smooth val="0"/>
          <c:extLst>
            <c:ext xmlns:c16="http://schemas.microsoft.com/office/drawing/2014/chart" uri="{C3380CC4-5D6E-409C-BE32-E72D297353CC}">
              <c16:uniqueId val="{00000001-EE40-40B5-B26F-B1C807E85CC9}"/>
            </c:ext>
          </c:extLst>
        </c:ser>
        <c:ser>
          <c:idx val="2"/>
          <c:order val="2"/>
          <c:tx>
            <c:strRef>
              <c:f>'Fire Resistance Lookup Graph'!$A$5</c:f>
              <c:strCache>
                <c:ptCount val="1"/>
                <c:pt idx="0">
                  <c:v>Expanded clay, shale, or slate</c:v>
                </c:pt>
              </c:strCache>
            </c:strRef>
          </c:tx>
          <c:spPr>
            <a:ln w="19050" cap="rnd">
              <a:solidFill>
                <a:schemeClr val="accent3"/>
              </a:solidFill>
              <a:round/>
            </a:ln>
            <a:effectLst/>
          </c:spPr>
          <c:marker>
            <c:symbol val="none"/>
          </c:marker>
          <c:trendline>
            <c:spPr>
              <a:ln w="19050" cap="rnd">
                <a:solidFill>
                  <a:schemeClr val="accent3"/>
                </a:solidFill>
                <a:prstDash val="sysDot"/>
              </a:ln>
              <a:effectLst/>
            </c:spPr>
            <c:trendlineType val="poly"/>
            <c:order val="2"/>
            <c:dispRSqr val="1"/>
            <c:dispEq val="1"/>
            <c:trendlineLbl>
              <c:layout>
                <c:manualLayout>
                  <c:x val="0.2227485725339641"/>
                  <c:y val="-5.6206613764767266E-2"/>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2400" baseline="0">
                        <a:solidFill>
                          <a:schemeClr val="accent3"/>
                        </a:solidFill>
                      </a:rPr>
                      <a:t>y = 0.1668x</a:t>
                    </a:r>
                    <a:r>
                      <a:rPr lang="en-US" sz="2400" baseline="30000">
                        <a:solidFill>
                          <a:schemeClr val="accent3"/>
                        </a:solidFill>
                      </a:rPr>
                      <a:t>2</a:t>
                    </a:r>
                    <a:r>
                      <a:rPr lang="en-US" sz="2400" baseline="0">
                        <a:solidFill>
                          <a:schemeClr val="accent3"/>
                        </a:solidFill>
                      </a:rPr>
                      <a:t> - 0.0765x + 0.0839</a:t>
                    </a:r>
                    <a:br>
                      <a:rPr lang="en-US" sz="2400" baseline="0">
                        <a:solidFill>
                          <a:schemeClr val="accent3"/>
                        </a:solidFill>
                      </a:rPr>
                    </a:br>
                    <a:r>
                      <a:rPr lang="en-US" sz="2400" baseline="0">
                        <a:solidFill>
                          <a:schemeClr val="accent3"/>
                        </a:solidFill>
                      </a:rPr>
                      <a:t>R² = 0.9978</a:t>
                    </a:r>
                    <a:endParaRPr lang="en-US" sz="2400">
                      <a:solidFill>
                        <a:schemeClr val="accent3"/>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'Fire Resistance Lookup Graph'!$B$5:$P$5</c:f>
              <c:numCache>
                <c:formatCode>0.0</c:formatCode>
                <c:ptCount val="15"/>
                <c:pt idx="0">
                  <c:v>5.0999999999999996</c:v>
                </c:pt>
                <c:pt idx="1">
                  <c:v>4.9000000000000004</c:v>
                </c:pt>
                <c:pt idx="2">
                  <c:v>4.8</c:v>
                </c:pt>
                <c:pt idx="3">
                  <c:v>4.5999999999999996</c:v>
                </c:pt>
                <c:pt idx="4">
                  <c:v>4.4000000000000004</c:v>
                </c:pt>
                <c:pt idx="5">
                  <c:v>4.2</c:v>
                </c:pt>
                <c:pt idx="6">
                  <c:v>4</c:v>
                </c:pt>
                <c:pt idx="7">
                  <c:v>3.8</c:v>
                </c:pt>
                <c:pt idx="8">
                  <c:v>3.6</c:v>
                </c:pt>
                <c:pt idx="9">
                  <c:v>3.4</c:v>
                </c:pt>
                <c:pt idx="10">
                  <c:v>3.3</c:v>
                </c:pt>
                <c:pt idx="11">
                  <c:v>2.9</c:v>
                </c:pt>
                <c:pt idx="12">
                  <c:v>2.6</c:v>
                </c:pt>
                <c:pt idx="13">
                  <c:v>2.2000000000000002</c:v>
                </c:pt>
                <c:pt idx="14">
                  <c:v>1.8</c:v>
                </c:pt>
              </c:numCache>
            </c:numRef>
          </c:xVal>
          <c:yVal>
            <c:numRef>
              <c:f>'Fire Resistance Lookup Graph'!$B$2:$P$2</c:f>
              <c:numCache>
                <c:formatCode>General_)</c:formatCode>
                <c:ptCount val="15"/>
                <c:pt idx="0">
                  <c:v>4</c:v>
                </c:pt>
                <c:pt idx="1">
                  <c:v>3.75</c:v>
                </c:pt>
                <c:pt idx="2">
                  <c:v>3.5</c:v>
                </c:pt>
                <c:pt idx="3">
                  <c:v>3.25</c:v>
                </c:pt>
                <c:pt idx="4">
                  <c:v>3</c:v>
                </c:pt>
                <c:pt idx="5">
                  <c:v>2.75</c:v>
                </c:pt>
                <c:pt idx="6">
                  <c:v>2.5</c:v>
                </c:pt>
                <c:pt idx="7">
                  <c:v>2.25</c:v>
                </c:pt>
                <c:pt idx="8">
                  <c:v>2</c:v>
                </c:pt>
                <c:pt idx="9">
                  <c:v>1.75</c:v>
                </c:pt>
                <c:pt idx="10">
                  <c:v>1.5</c:v>
                </c:pt>
                <c:pt idx="11">
                  <c:v>1.25</c:v>
                </c:pt>
                <c:pt idx="12">
                  <c:v>1</c:v>
                </c:pt>
                <c:pt idx="13">
                  <c:v>0.75</c:v>
                </c:pt>
                <c:pt idx="14">
                  <c:v>0.5</c:v>
                </c:pt>
              </c:numCache>
            </c:numRef>
          </c:yVal>
          <c:smooth val="0"/>
          <c:extLst>
            <c:ext xmlns:c16="http://schemas.microsoft.com/office/drawing/2014/chart" uri="{C3380CC4-5D6E-409C-BE32-E72D297353CC}">
              <c16:uniqueId val="{00000002-EE40-40B5-B26F-B1C807E85CC9}"/>
            </c:ext>
          </c:extLst>
        </c:ser>
        <c:ser>
          <c:idx val="3"/>
          <c:order val="3"/>
          <c:tx>
            <c:strRef>
              <c:f>'Fire Resistance Lookup Graph'!$A$6</c:f>
              <c:strCache>
                <c:ptCount val="1"/>
                <c:pt idx="0">
                  <c:v>Expanded slag or pumice</c:v>
                </c:pt>
              </c:strCache>
            </c:strRef>
          </c:tx>
          <c:spPr>
            <a:ln w="19050" cap="rnd">
              <a:solidFill>
                <a:schemeClr val="accent4"/>
              </a:solidFill>
              <a:round/>
            </a:ln>
            <a:effectLst/>
          </c:spPr>
          <c:marker>
            <c:symbol val="none"/>
          </c:marker>
          <c:trendline>
            <c:spPr>
              <a:ln w="19050" cap="rnd">
                <a:solidFill>
                  <a:schemeClr val="accent4"/>
                </a:solidFill>
                <a:prstDash val="sysDot"/>
              </a:ln>
              <a:effectLst/>
            </c:spPr>
            <c:trendlineType val="poly"/>
            <c:order val="2"/>
            <c:dispRSqr val="1"/>
            <c:dispEq val="1"/>
            <c:trendlineLbl>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2400" baseline="0">
                        <a:solidFill>
                          <a:schemeClr val="accent4"/>
                        </a:solidFill>
                      </a:rPr>
                      <a:t>y = 0.1389x</a:t>
                    </a:r>
                    <a:r>
                      <a:rPr lang="en-US" sz="2400" baseline="30000">
                        <a:solidFill>
                          <a:schemeClr val="accent4"/>
                        </a:solidFill>
                      </a:rPr>
                      <a:t>2</a:t>
                    </a:r>
                    <a:r>
                      <a:rPr lang="en-US" sz="2400" baseline="0">
                        <a:solidFill>
                          <a:schemeClr val="accent4"/>
                        </a:solidFill>
                      </a:rPr>
                      <a:t> + 0.2342x - 0.1647</a:t>
                    </a:r>
                    <a:br>
                      <a:rPr lang="en-US" sz="2400" baseline="0">
                        <a:solidFill>
                          <a:schemeClr val="accent4"/>
                        </a:solidFill>
                      </a:rPr>
                    </a:br>
                    <a:r>
                      <a:rPr lang="en-US" sz="2400" baseline="0">
                        <a:solidFill>
                          <a:schemeClr val="accent4"/>
                        </a:solidFill>
                      </a:rPr>
                      <a:t>R² = 0.9992</a:t>
                    </a:r>
                    <a:endParaRPr lang="en-US" sz="2400">
                      <a:solidFill>
                        <a:schemeClr val="accent4"/>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'Fire Resistance Lookup Graph'!$B$6:$P$6</c:f>
              <c:numCache>
                <c:formatCode>0.0</c:formatCode>
                <c:ptCount val="15"/>
                <c:pt idx="0">
                  <c:v>4.7</c:v>
                </c:pt>
                <c:pt idx="1">
                  <c:v>4.5</c:v>
                </c:pt>
                <c:pt idx="2">
                  <c:v>4.4000000000000004</c:v>
                </c:pt>
                <c:pt idx="3">
                  <c:v>4.2</c:v>
                </c:pt>
                <c:pt idx="4">
                  <c:v>4</c:v>
                </c:pt>
                <c:pt idx="5">
                  <c:v>3.8</c:v>
                </c:pt>
                <c:pt idx="6">
                  <c:v>3.6</c:v>
                </c:pt>
                <c:pt idx="7">
                  <c:v>3.4</c:v>
                </c:pt>
                <c:pt idx="8">
                  <c:v>3.2</c:v>
                </c:pt>
                <c:pt idx="9">
                  <c:v>3</c:v>
                </c:pt>
                <c:pt idx="10">
                  <c:v>2.7</c:v>
                </c:pt>
                <c:pt idx="11">
                  <c:v>2.5</c:v>
                </c:pt>
                <c:pt idx="12">
                  <c:v>2.1</c:v>
                </c:pt>
                <c:pt idx="13">
                  <c:v>1.9</c:v>
                </c:pt>
                <c:pt idx="14">
                  <c:v>1.5</c:v>
                </c:pt>
              </c:numCache>
            </c:numRef>
          </c:xVal>
          <c:yVal>
            <c:numRef>
              <c:f>'Fire Resistance Lookup Graph'!$B$2:$P$2</c:f>
              <c:numCache>
                <c:formatCode>General_)</c:formatCode>
                <c:ptCount val="15"/>
                <c:pt idx="0">
                  <c:v>4</c:v>
                </c:pt>
                <c:pt idx="1">
                  <c:v>3.75</c:v>
                </c:pt>
                <c:pt idx="2">
                  <c:v>3.5</c:v>
                </c:pt>
                <c:pt idx="3">
                  <c:v>3.25</c:v>
                </c:pt>
                <c:pt idx="4">
                  <c:v>3</c:v>
                </c:pt>
                <c:pt idx="5">
                  <c:v>2.75</c:v>
                </c:pt>
                <c:pt idx="6">
                  <c:v>2.5</c:v>
                </c:pt>
                <c:pt idx="7">
                  <c:v>2.25</c:v>
                </c:pt>
                <c:pt idx="8">
                  <c:v>2</c:v>
                </c:pt>
                <c:pt idx="9">
                  <c:v>1.75</c:v>
                </c:pt>
                <c:pt idx="10">
                  <c:v>1.5</c:v>
                </c:pt>
                <c:pt idx="11">
                  <c:v>1.25</c:v>
                </c:pt>
                <c:pt idx="12">
                  <c:v>1</c:v>
                </c:pt>
                <c:pt idx="13">
                  <c:v>0.75</c:v>
                </c:pt>
                <c:pt idx="14">
                  <c:v>0.5</c:v>
                </c:pt>
              </c:numCache>
            </c:numRef>
          </c:yVal>
          <c:smooth val="0"/>
          <c:extLst>
            <c:ext xmlns:c16="http://schemas.microsoft.com/office/drawing/2014/chart" uri="{C3380CC4-5D6E-409C-BE32-E72D297353CC}">
              <c16:uniqueId val="{00000003-EE40-40B5-B26F-B1C807E85CC9}"/>
            </c:ext>
          </c:extLst>
        </c:ser>
        <c:dLbls>
          <c:showLegendKey val="0"/>
          <c:showVal val="0"/>
          <c:showCatName val="0"/>
          <c:showSerName val="0"/>
          <c:showPercent val="0"/>
          <c:showBubbleSize val="0"/>
        </c:dLbls>
        <c:axId val="355882224"/>
        <c:axId val="355881896"/>
      </c:scatterChart>
      <c:valAx>
        <c:axId val="35588222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881896"/>
        <c:crosses val="autoZero"/>
        <c:crossBetween val="midCat"/>
      </c:valAx>
      <c:valAx>
        <c:axId val="355881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882224"/>
        <c:crosses val="autoZero"/>
        <c:crossBetween val="midCat"/>
      </c:valAx>
      <c:spPr>
        <a:noFill/>
        <a:ln>
          <a:noFill/>
        </a:ln>
        <a:effectLst/>
      </c:spPr>
    </c:plotArea>
    <c:legend>
      <c:legendPos val="l"/>
      <c:layout>
        <c:manualLayout>
          <c:xMode val="edge"/>
          <c:yMode val="edge"/>
          <c:x val="8.7229097853997087E-2"/>
          <c:y val="0.19861751316755163"/>
          <c:w val="0.27327504795334506"/>
          <c:h val="0.385770065579789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700520039502694E-2"/>
          <c:y val="8.8158159817068055E-3"/>
          <c:w val="0.95978257968567759"/>
          <c:h val="0.95236372207407416"/>
        </c:manualLayout>
      </c:layout>
      <c:scatterChart>
        <c:scatterStyle val="lineMarker"/>
        <c:varyColors val="0"/>
        <c:ser>
          <c:idx val="0"/>
          <c:order val="0"/>
          <c:tx>
            <c:strRef>
              <c:f>'Fire Resistance Lookup Graph'!$A$47</c:f>
              <c:strCache>
                <c:ptCount val="1"/>
                <c:pt idx="0">
                  <c:v>&gt;= 75% Solid</c:v>
                </c:pt>
              </c:strCache>
            </c:strRef>
          </c:tx>
          <c:spPr>
            <a:ln w="19050" cap="rnd">
              <a:solidFill>
                <a:schemeClr val="accent1"/>
              </a:solidFill>
              <a:round/>
            </a:ln>
            <a:effectLst/>
          </c:spPr>
          <c:marker>
            <c:symbol val="none"/>
          </c:marker>
          <c:trendline>
            <c:spPr>
              <a:ln w="19050" cap="rnd">
                <a:solidFill>
                  <a:schemeClr val="accent1"/>
                </a:solidFill>
                <a:prstDash val="sysDot"/>
              </a:ln>
              <a:effectLst/>
            </c:spPr>
            <c:trendlineType val="poly"/>
            <c:order val="2"/>
            <c:dispRSqr val="1"/>
            <c:dispEq val="1"/>
            <c:trendlineLbl>
              <c:layout>
                <c:manualLayout>
                  <c:x val="-6.5124971189421121E-2"/>
                  <c:y val="0.61637604403633983"/>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2400" baseline="0">
                        <a:solidFill>
                          <a:schemeClr val="accent1"/>
                        </a:solidFill>
                      </a:rPr>
                      <a:t>y = -2E-15x</a:t>
                    </a:r>
                    <a:r>
                      <a:rPr lang="en-US" sz="2400" baseline="30000">
                        <a:solidFill>
                          <a:schemeClr val="accent1"/>
                        </a:solidFill>
                      </a:rPr>
                      <a:t>2</a:t>
                    </a:r>
                    <a:r>
                      <a:rPr lang="en-US" sz="2400" baseline="0">
                        <a:solidFill>
                          <a:schemeClr val="accent1"/>
                        </a:solidFill>
                      </a:rPr>
                      <a:t> + 0.9091x - 1.4545</a:t>
                    </a:r>
                    <a:br>
                      <a:rPr lang="en-US" sz="2400" baseline="0">
                        <a:solidFill>
                          <a:schemeClr val="accent1"/>
                        </a:solidFill>
                      </a:rPr>
                    </a:br>
                    <a:r>
                      <a:rPr lang="en-US" sz="2400" baseline="0">
                        <a:solidFill>
                          <a:schemeClr val="accent1"/>
                        </a:solidFill>
                      </a:rPr>
                      <a:t>R² = 1</a:t>
                    </a:r>
                    <a:endParaRPr lang="en-US" sz="2400">
                      <a:solidFill>
                        <a:schemeClr val="accent1"/>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'Fire Resistance Lookup Graph'!$B$47:$E$47</c:f>
              <c:numCache>
                <c:formatCode>0.0</c:formatCode>
                <c:ptCount val="4"/>
                <c:pt idx="0">
                  <c:v>6</c:v>
                </c:pt>
                <c:pt idx="1">
                  <c:v>4.9000000000000004</c:v>
                </c:pt>
                <c:pt idx="2">
                  <c:v>3.8</c:v>
                </c:pt>
                <c:pt idx="3">
                  <c:v>2.7</c:v>
                </c:pt>
              </c:numCache>
            </c:numRef>
          </c:xVal>
          <c:yVal>
            <c:numRef>
              <c:f>'Fire Resistance Lookup Graph'!$B$46:$E$46</c:f>
              <c:numCache>
                <c:formatCode>General_)</c:formatCode>
                <c:ptCount val="4"/>
                <c:pt idx="0">
                  <c:v>4</c:v>
                </c:pt>
                <c:pt idx="1">
                  <c:v>3</c:v>
                </c:pt>
                <c:pt idx="2">
                  <c:v>2</c:v>
                </c:pt>
                <c:pt idx="3">
                  <c:v>1</c:v>
                </c:pt>
              </c:numCache>
            </c:numRef>
          </c:yVal>
          <c:smooth val="0"/>
          <c:extLst>
            <c:ext xmlns:c16="http://schemas.microsoft.com/office/drawing/2014/chart" uri="{C3380CC4-5D6E-409C-BE32-E72D297353CC}">
              <c16:uniqueId val="{00000000-77A8-4F92-90DB-6065D379A0B7}"/>
            </c:ext>
          </c:extLst>
        </c:ser>
        <c:ser>
          <c:idx val="1"/>
          <c:order val="1"/>
          <c:tx>
            <c:strRef>
              <c:f>'Fire Resistance Lookup Graph'!$A$48</c:f>
              <c:strCache>
                <c:ptCount val="1"/>
                <c:pt idx="0">
                  <c:v>Hollow</c:v>
                </c:pt>
              </c:strCache>
            </c:strRef>
          </c:tx>
          <c:spPr>
            <a:ln w="19050" cap="rnd">
              <a:solidFill>
                <a:schemeClr val="accent2"/>
              </a:solidFill>
              <a:round/>
            </a:ln>
            <a:effectLst/>
          </c:spPr>
          <c:marker>
            <c:symbol val="none"/>
          </c:marker>
          <c:trendline>
            <c:spPr>
              <a:ln w="19050" cap="rnd">
                <a:solidFill>
                  <a:schemeClr val="accent2"/>
                </a:solidFill>
                <a:prstDash val="sysDot"/>
              </a:ln>
              <a:effectLst/>
            </c:spPr>
            <c:trendlineType val="poly"/>
            <c:order val="2"/>
            <c:dispRSqr val="1"/>
            <c:dispEq val="1"/>
            <c:trendlineLbl>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2400" baseline="0">
                        <a:solidFill>
                          <a:schemeClr val="accent2"/>
                        </a:solidFill>
                      </a:rPr>
                      <a:t>y = 0.1367x</a:t>
                    </a:r>
                    <a:r>
                      <a:rPr lang="en-US" sz="2400" baseline="30000">
                        <a:solidFill>
                          <a:schemeClr val="accent2"/>
                        </a:solidFill>
                      </a:rPr>
                      <a:t>2</a:t>
                    </a:r>
                    <a:r>
                      <a:rPr lang="en-US" sz="2400" baseline="0">
                        <a:solidFill>
                          <a:schemeClr val="accent2"/>
                        </a:solidFill>
                      </a:rPr>
                      <a:t> + 0.1072x + 0.0354</a:t>
                    </a:r>
                    <a:br>
                      <a:rPr lang="en-US" sz="2400" baseline="0">
                        <a:solidFill>
                          <a:schemeClr val="accent2"/>
                        </a:solidFill>
                      </a:rPr>
                    </a:br>
                    <a:r>
                      <a:rPr lang="en-US" sz="2400" baseline="0">
                        <a:solidFill>
                          <a:schemeClr val="accent2"/>
                        </a:solidFill>
                      </a:rPr>
                      <a:t>R² = 0.9998</a:t>
                    </a:r>
                    <a:endParaRPr lang="en-US" sz="2400">
                      <a:solidFill>
                        <a:schemeClr val="accent2"/>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'Fire Resistance Lookup Graph'!$B$48:$E$48</c:f>
              <c:numCache>
                <c:formatCode>0.0</c:formatCode>
                <c:ptCount val="4"/>
                <c:pt idx="0">
                  <c:v>5</c:v>
                </c:pt>
                <c:pt idx="1">
                  <c:v>4.3</c:v>
                </c:pt>
                <c:pt idx="2">
                  <c:v>3.4</c:v>
                </c:pt>
                <c:pt idx="3">
                  <c:v>2.2999999999999998</c:v>
                </c:pt>
              </c:numCache>
            </c:numRef>
          </c:xVal>
          <c:yVal>
            <c:numRef>
              <c:f>'Fire Resistance Lookup Graph'!$B$46:$E$46</c:f>
              <c:numCache>
                <c:formatCode>General_)</c:formatCode>
                <c:ptCount val="4"/>
                <c:pt idx="0">
                  <c:v>4</c:v>
                </c:pt>
                <c:pt idx="1">
                  <c:v>3</c:v>
                </c:pt>
                <c:pt idx="2">
                  <c:v>2</c:v>
                </c:pt>
                <c:pt idx="3">
                  <c:v>1</c:v>
                </c:pt>
              </c:numCache>
            </c:numRef>
          </c:yVal>
          <c:smooth val="0"/>
          <c:extLst>
            <c:ext xmlns:c16="http://schemas.microsoft.com/office/drawing/2014/chart" uri="{C3380CC4-5D6E-409C-BE32-E72D297353CC}">
              <c16:uniqueId val="{00000001-77A8-4F92-90DB-6065D379A0B7}"/>
            </c:ext>
          </c:extLst>
        </c:ser>
        <c:ser>
          <c:idx val="2"/>
          <c:order val="2"/>
          <c:tx>
            <c:strRef>
              <c:f>'Fire Resistance Lookup Graph'!$A$49</c:f>
              <c:strCache>
                <c:ptCount val="1"/>
                <c:pt idx="0">
                  <c:v>Grouted</c:v>
                </c:pt>
              </c:strCache>
            </c:strRef>
          </c:tx>
          <c:spPr>
            <a:ln w="19050" cap="rnd">
              <a:solidFill>
                <a:schemeClr val="accent3"/>
              </a:solidFill>
              <a:round/>
            </a:ln>
            <a:effectLst/>
          </c:spPr>
          <c:marker>
            <c:symbol val="none"/>
          </c:marker>
          <c:trendline>
            <c:spPr>
              <a:ln w="19050" cap="rnd">
                <a:solidFill>
                  <a:schemeClr val="accent3"/>
                </a:solidFill>
                <a:prstDash val="sysDot"/>
              </a:ln>
              <a:effectLst/>
            </c:spPr>
            <c:trendlineType val="poly"/>
            <c:order val="2"/>
            <c:dispRSqr val="1"/>
            <c:dispEq val="1"/>
            <c:trendlineLbl>
              <c:layout>
                <c:manualLayout>
                  <c:x val="7.2726035018433929E-2"/>
                  <c:y val="0.37368322975400309"/>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2400" baseline="0">
                        <a:solidFill>
                          <a:schemeClr val="accent3"/>
                        </a:solidFill>
                      </a:rPr>
                      <a:t>y = 0.0444x</a:t>
                    </a:r>
                    <a:r>
                      <a:rPr lang="en-US" sz="2400" baseline="30000">
                        <a:solidFill>
                          <a:schemeClr val="accent3"/>
                        </a:solidFill>
                      </a:rPr>
                      <a:t>2</a:t>
                    </a:r>
                    <a:r>
                      <a:rPr lang="en-US" sz="2400" baseline="0">
                        <a:solidFill>
                          <a:schemeClr val="accent3"/>
                        </a:solidFill>
                      </a:rPr>
                      <a:t> + 0.4127x - 0.6455</a:t>
                    </a:r>
                    <a:br>
                      <a:rPr lang="en-US" sz="2400" baseline="0">
                        <a:solidFill>
                          <a:schemeClr val="accent3"/>
                        </a:solidFill>
                      </a:rPr>
                    </a:br>
                    <a:r>
                      <a:rPr lang="en-US" sz="2400" baseline="0">
                        <a:solidFill>
                          <a:schemeClr val="accent3"/>
                        </a:solidFill>
                      </a:rPr>
                      <a:t>R² = 0.9996</a:t>
                    </a:r>
                    <a:endParaRPr lang="en-US" sz="2400">
                      <a:solidFill>
                        <a:schemeClr val="accent3"/>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'Fire Resistance Lookup Graph'!$B$49:$E$49</c:f>
              <c:numCache>
                <c:formatCode>0.0</c:formatCode>
                <c:ptCount val="4"/>
                <c:pt idx="0">
                  <c:v>6.6</c:v>
                </c:pt>
                <c:pt idx="1">
                  <c:v>5.5</c:v>
                </c:pt>
                <c:pt idx="2">
                  <c:v>4.4000000000000004</c:v>
                </c:pt>
                <c:pt idx="3">
                  <c:v>3</c:v>
                </c:pt>
              </c:numCache>
            </c:numRef>
          </c:xVal>
          <c:yVal>
            <c:numRef>
              <c:f>'Fire Resistance Lookup Graph'!$B$46:$E$46</c:f>
              <c:numCache>
                <c:formatCode>General_)</c:formatCode>
                <c:ptCount val="4"/>
                <c:pt idx="0">
                  <c:v>4</c:v>
                </c:pt>
                <c:pt idx="1">
                  <c:v>3</c:v>
                </c:pt>
                <c:pt idx="2">
                  <c:v>2</c:v>
                </c:pt>
                <c:pt idx="3">
                  <c:v>1</c:v>
                </c:pt>
              </c:numCache>
            </c:numRef>
          </c:yVal>
          <c:smooth val="0"/>
          <c:extLst>
            <c:ext xmlns:c16="http://schemas.microsoft.com/office/drawing/2014/chart" uri="{C3380CC4-5D6E-409C-BE32-E72D297353CC}">
              <c16:uniqueId val="{00000002-77A8-4F92-90DB-6065D379A0B7}"/>
            </c:ext>
          </c:extLst>
        </c:ser>
        <c:dLbls>
          <c:showLegendKey val="0"/>
          <c:showVal val="0"/>
          <c:showCatName val="0"/>
          <c:showSerName val="0"/>
          <c:showPercent val="0"/>
          <c:showBubbleSize val="0"/>
        </c:dLbls>
        <c:axId val="355882224"/>
        <c:axId val="355881896"/>
      </c:scatterChart>
      <c:valAx>
        <c:axId val="35588222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881896"/>
        <c:crosses val="autoZero"/>
        <c:crossBetween val="midCat"/>
      </c:valAx>
      <c:valAx>
        <c:axId val="355881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882224"/>
        <c:crosses val="autoZero"/>
        <c:crossBetween val="midCat"/>
      </c:valAx>
      <c:spPr>
        <a:noFill/>
        <a:ln>
          <a:noFill/>
        </a:ln>
        <a:effectLst/>
      </c:spPr>
    </c:plotArea>
    <c:legend>
      <c:legendPos val="l"/>
      <c:layout>
        <c:manualLayout>
          <c:xMode val="edge"/>
          <c:yMode val="edge"/>
          <c:x val="9.1222056555280789E-2"/>
          <c:y val="0.22471885834733865"/>
          <c:w val="0.21922398155615927"/>
          <c:h val="0.326298160907866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4" Type="http://schemas.openxmlformats.org/officeDocument/2006/relationships/image" Target="../media/image6.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133349</xdr:rowOff>
    </xdr:from>
    <xdr:to>
      <xdr:col>14</xdr:col>
      <xdr:colOff>485776</xdr:colOff>
      <xdr:row>34</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133349"/>
          <a:ext cx="8829676" cy="6448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600" b="0" u="none" baseline="0">
              <a:latin typeface="+mn-lt"/>
              <a:cs typeface="Times New Roman" panose="02020603050405020304" pitchFamily="18" charset="0"/>
            </a:rPr>
            <a:t>     </a:t>
          </a:r>
          <a:r>
            <a:rPr lang="en-US" sz="1600" b="1" u="sng">
              <a:latin typeface="+mn-lt"/>
              <a:cs typeface="Times New Roman" panose="02020603050405020304" pitchFamily="18" charset="0"/>
            </a:rPr>
            <a:t>NCMA</a:t>
          </a:r>
          <a:r>
            <a:rPr lang="en-US" sz="1600" b="1" u="sng" baseline="0">
              <a:latin typeface="+mn-lt"/>
              <a:cs typeface="Times New Roman" panose="02020603050405020304" pitchFamily="18" charset="0"/>
            </a:rPr>
            <a:t> Fire Resistance Calculator</a:t>
          </a:r>
          <a:endParaRPr lang="en-US" sz="1600" b="0" u="none" baseline="0">
            <a:latin typeface="+mn-lt"/>
            <a:cs typeface="Times New Roman" panose="02020603050405020304" pitchFamily="18" charset="0"/>
          </a:endParaRPr>
        </a:p>
        <a:p>
          <a:pPr algn="l"/>
          <a:endParaRPr lang="en-US" sz="1200" b="1" u="sng">
            <a:latin typeface="+mn-lt"/>
            <a:cs typeface="Times New Roman" panose="02020603050405020304" pitchFamily="18" charset="0"/>
          </a:endParaRPr>
        </a:p>
        <a:p>
          <a:pPr algn="l"/>
          <a:r>
            <a:rPr lang="en-US" sz="1600" b="0" u="none">
              <a:latin typeface="+mn-lt"/>
              <a:cs typeface="Times New Roman" panose="02020603050405020304" pitchFamily="18" charset="0"/>
            </a:rPr>
            <a:t>     </a:t>
          </a:r>
          <a:r>
            <a:rPr lang="en-US" sz="1200" b="0" u="none">
              <a:latin typeface="+mn-lt"/>
              <a:cs typeface="Times New Roman" panose="02020603050405020304" pitchFamily="18" charset="0"/>
            </a:rPr>
            <a:t>This spreadsheet provides section properties for CMU walls</a:t>
          </a:r>
          <a:r>
            <a:rPr lang="en-US" sz="1200" b="0" u="none" baseline="0">
              <a:latin typeface="+mn-lt"/>
              <a:cs typeface="Times New Roman" panose="02020603050405020304" pitchFamily="18" charset="0"/>
            </a:rPr>
            <a:t> that are either vertically or horizontally grouted.</a:t>
          </a:r>
        </a:p>
        <a:p>
          <a:pPr algn="l"/>
          <a:endParaRPr lang="en-US" sz="1200" b="0" u="none" baseline="0">
            <a:latin typeface="+mn-lt"/>
            <a:cs typeface="Times New Roman" panose="02020603050405020304" pitchFamily="18" charset="0"/>
          </a:endParaRPr>
        </a:p>
        <a:p>
          <a:pPr algn="l"/>
          <a:r>
            <a:rPr lang="en-US" sz="1200" b="0" u="none" baseline="0">
              <a:latin typeface="+mn-lt"/>
              <a:cs typeface="Times New Roman" panose="02020603050405020304" pitchFamily="18" charset="0"/>
            </a:rPr>
            <a:t>       1. Orange cells are for user input</a:t>
          </a:r>
        </a:p>
        <a:p>
          <a:pPr algn="l"/>
          <a:r>
            <a:rPr lang="en-US" sz="1200" b="0" u="none" baseline="0">
              <a:latin typeface="+mn-lt"/>
              <a:cs typeface="Times New Roman" panose="02020603050405020304" pitchFamily="18" charset="0"/>
            </a:rPr>
            <a:t>       2. Grey cells with orange text are interim calculations with pertinent information.</a:t>
          </a:r>
        </a:p>
        <a:p>
          <a:pPr algn="l"/>
          <a:r>
            <a:rPr lang="en-US" sz="1200" b="0" u="none" baseline="0">
              <a:latin typeface="+mn-lt"/>
              <a:cs typeface="Times New Roman" panose="02020603050405020304" pitchFamily="18" charset="0"/>
            </a:rPr>
            <a:t>       3. Units must conform to a 2 faceshell configuration</a:t>
          </a:r>
        </a:p>
        <a:p>
          <a:pPr algn="l"/>
          <a:r>
            <a:rPr lang="en-US" sz="1200" b="0" u="none" baseline="0">
              <a:latin typeface="+mn-lt"/>
              <a:cs typeface="Times New Roman" panose="02020603050405020304" pitchFamily="18" charset="0"/>
            </a:rPr>
            <a:t>       4. Depending on user input, cells may appear or vanish based on what is needed. Leave no cells blank.</a:t>
          </a:r>
        </a:p>
        <a:p>
          <a:pPr algn="l"/>
          <a:r>
            <a:rPr lang="en-US" sz="1200" b="0" u="none" baseline="0">
              <a:latin typeface="+mn-lt"/>
              <a:cs typeface="Times New Roman" panose="02020603050405020304" pitchFamily="18" charset="0"/>
            </a:rPr>
            <a:t>       5. For a more detailed instruction, double-click the link below to be directed to a PDF (will open in Adobe Acrobat)</a:t>
          </a:r>
        </a:p>
        <a:p>
          <a:pPr algn="l"/>
          <a:r>
            <a:rPr lang="en-US" sz="1200" b="0" u="none" baseline="0">
              <a:latin typeface="+mn-lt"/>
              <a:cs typeface="Times New Roman" panose="02020603050405020304" pitchFamily="18" charset="0"/>
            </a:rPr>
            <a:t>       6. If you feel the need or desire to edit or alter the calculations in this sheet, the protection password is as follows:</a:t>
          </a:r>
        </a:p>
        <a:p>
          <a:pPr algn="l"/>
          <a:r>
            <a:rPr lang="en-US" sz="1200" b="0" u="none" baseline="0">
              <a:latin typeface="+mn-lt"/>
              <a:cs typeface="Times New Roman" panose="02020603050405020304" pitchFamily="18" charset="0"/>
            </a:rPr>
            <a:t>                               </a:t>
          </a:r>
          <a:r>
            <a:rPr lang="en-US" sz="1200" b="1" u="none" baseline="0">
              <a:latin typeface="Times New Roman" panose="02020603050405020304" pitchFamily="18" charset="0"/>
              <a:cs typeface="Times New Roman" panose="02020603050405020304" pitchFamily="18" charset="0"/>
            </a:rPr>
            <a:t>bloxrox</a:t>
          </a:r>
        </a:p>
      </xdr:txBody>
    </xdr:sp>
    <xdr:clientData/>
  </xdr:twoCellAnchor>
  <xdr:twoCellAnchor editAs="oneCell">
    <xdr:from>
      <xdr:col>5</xdr:col>
      <xdr:colOff>186438</xdr:colOff>
      <xdr:row>28</xdr:row>
      <xdr:rowOff>28575</xdr:rowOff>
    </xdr:from>
    <xdr:to>
      <xdr:col>14</xdr:col>
      <xdr:colOff>371476</xdr:colOff>
      <xdr:row>32</xdr:row>
      <xdr:rowOff>152400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4438" y="5362575"/>
          <a:ext cx="5671438" cy="8858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485775</xdr:colOff>
          <xdr:row>18</xdr:row>
          <xdr:rowOff>14288</xdr:rowOff>
        </xdr:from>
        <xdr:to>
          <xdr:col>3</xdr:col>
          <xdr:colOff>180975</xdr:colOff>
          <xdr:row>21</xdr:row>
          <xdr:rowOff>152400</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2673928</xdr:colOff>
      <xdr:row>5</xdr:row>
      <xdr:rowOff>41563</xdr:rowOff>
    </xdr:from>
    <xdr:to>
      <xdr:col>4</xdr:col>
      <xdr:colOff>3325092</xdr:colOff>
      <xdr:row>7</xdr:row>
      <xdr:rowOff>96981</xdr:rowOff>
    </xdr:to>
    <xdr:sp macro="[0]!Sheet7.clear_cells" textlink="">
      <xdr:nvSpPr>
        <xdr:cNvPr id="5" name="Rectangle 4">
          <a:extLst>
            <a:ext uri="{FF2B5EF4-FFF2-40B4-BE49-F238E27FC236}">
              <a16:creationId xmlns:a16="http://schemas.microsoft.com/office/drawing/2014/main" id="{00000000-0008-0000-0100-000005000000}"/>
            </a:ext>
          </a:extLst>
        </xdr:cNvPr>
        <xdr:cNvSpPr/>
      </xdr:nvSpPr>
      <xdr:spPr>
        <a:xfrm>
          <a:off x="7162801" y="41563"/>
          <a:ext cx="5278582" cy="41563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a:t>Clear</a:t>
          </a:r>
          <a:r>
            <a:rPr lang="en-US" sz="1100" baseline="0"/>
            <a:t> Data Entered on this Page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12124</xdr:rowOff>
    </xdr:from>
    <xdr:ext cx="4445454" cy="676946"/>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124"/>
          <a:ext cx="4445454" cy="676946"/>
        </a:xfrm>
        <a:prstGeom prst="rect">
          <a:avLst/>
        </a:prstGeom>
      </xdr:spPr>
    </xdr:pic>
    <xdr:clientData/>
  </xdr:oneCellAnchor>
  <xdr:oneCellAnchor>
    <xdr:from>
      <xdr:col>0</xdr:col>
      <xdr:colOff>0</xdr:colOff>
      <xdr:row>136</xdr:row>
      <xdr:rowOff>12124</xdr:rowOff>
    </xdr:from>
    <xdr:ext cx="4445454" cy="676946"/>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124"/>
          <a:ext cx="4445454" cy="676946"/>
        </a:xfrm>
        <a:prstGeom prst="rect">
          <a:avLst/>
        </a:prstGeom>
      </xdr:spPr>
    </xdr:pic>
    <xdr:clientData/>
  </xdr:oneCellAnchor>
  <xdr:oneCellAnchor>
    <xdr:from>
      <xdr:col>0</xdr:col>
      <xdr:colOff>0</xdr:colOff>
      <xdr:row>200</xdr:row>
      <xdr:rowOff>12124</xdr:rowOff>
    </xdr:from>
    <xdr:ext cx="4445454" cy="676946"/>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957215"/>
          <a:ext cx="4445454" cy="676946"/>
        </a:xfrm>
        <a:prstGeom prst="rect">
          <a:avLst/>
        </a:prstGeom>
      </xdr:spPr>
    </xdr:pic>
    <xdr:clientData/>
  </xdr:oneCellAnchor>
  <xdr:oneCellAnchor>
    <xdr:from>
      <xdr:col>0</xdr:col>
      <xdr:colOff>0</xdr:colOff>
      <xdr:row>66</xdr:row>
      <xdr:rowOff>12124</xdr:rowOff>
    </xdr:from>
    <xdr:ext cx="4445454" cy="676946"/>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124"/>
          <a:ext cx="4445454" cy="67694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39188</xdr:colOff>
      <xdr:row>7</xdr:row>
      <xdr:rowOff>181792</xdr:rowOff>
    </xdr:from>
    <xdr:to>
      <xdr:col>15</xdr:col>
      <xdr:colOff>581890</xdr:colOff>
      <xdr:row>44</xdr:row>
      <xdr:rowOff>110836</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1</xdr:rowOff>
    </xdr:from>
    <xdr:to>
      <xdr:col>15</xdr:col>
      <xdr:colOff>581890</xdr:colOff>
      <xdr:row>89</xdr:row>
      <xdr:rowOff>166255</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
  <sheetViews>
    <sheetView zoomScale="85" zoomScaleNormal="85" zoomScalePageLayoutView="70" workbookViewId="0">
      <selection activeCell="L38" sqref="L38"/>
    </sheetView>
  </sheetViews>
  <sheetFormatPr defaultRowHeight="14.25" x14ac:dyDescent="0.45"/>
  <sheetData/>
  <pageMargins left="0.7" right="0.7" top="0.75" bottom="0.75" header="0.3" footer="0.3"/>
  <pageSetup scale="91" orientation="landscape" r:id="rId1"/>
  <drawing r:id="rId2"/>
  <legacyDrawing r:id="rId3"/>
  <oleObjects>
    <mc:AlternateContent xmlns:mc="http://schemas.openxmlformats.org/markup-compatibility/2006">
      <mc:Choice Requires="x14">
        <oleObject progId="AcroExch.Document.7" dvAspect="DVASPECT_ICON" shapeId="1048" r:id="rId4">
          <objectPr defaultSize="0" r:id="rId5">
            <anchor moveWithCells="1">
              <from>
                <xdr:col>1</xdr:col>
                <xdr:colOff>485775</xdr:colOff>
                <xdr:row>18</xdr:row>
                <xdr:rowOff>14288</xdr:rowOff>
              </from>
              <to>
                <xdr:col>3</xdr:col>
                <xdr:colOff>180975</xdr:colOff>
                <xdr:row>21</xdr:row>
                <xdr:rowOff>152400</xdr:rowOff>
              </to>
            </anchor>
          </objectPr>
        </oleObject>
      </mc:Choice>
      <mc:Fallback>
        <oleObject progId="AcroExch.Document.7" dvAspect="DVASPECT_ICON" shapeId="1048"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J264"/>
  <sheetViews>
    <sheetView view="pageLayout" zoomScale="55" zoomScaleNormal="85" zoomScalePageLayoutView="55" workbookViewId="0">
      <selection activeCell="E21" sqref="E21"/>
    </sheetView>
  </sheetViews>
  <sheetFormatPr defaultColWidth="9.1328125" defaultRowHeight="14.25" x14ac:dyDescent="0.45"/>
  <cols>
    <col min="1" max="1" width="23.19921875" style="15" customWidth="1"/>
    <col min="2" max="2" width="39.53125" style="15" bestFit="1" customWidth="1"/>
    <col min="3" max="3" width="45.6640625" style="15" customWidth="1"/>
    <col min="4" max="4" width="31.33203125" style="45" customWidth="1"/>
    <col min="5" max="5" width="71.53125" style="15" bestFit="1" customWidth="1"/>
    <col min="6" max="6" width="6.6640625" style="15" customWidth="1"/>
    <col min="7" max="10" width="16.53125" style="15" customWidth="1"/>
    <col min="11" max="16384" width="9.1328125" style="15"/>
  </cols>
  <sheetData>
    <row r="1" spans="1:10" x14ac:dyDescent="0.45">
      <c r="D1" s="75" t="s">
        <v>3</v>
      </c>
      <c r="E1" s="113"/>
    </row>
    <row r="2" spans="1:10" x14ac:dyDescent="0.45">
      <c r="D2" s="75" t="s">
        <v>1</v>
      </c>
      <c r="E2" s="114"/>
    </row>
    <row r="3" spans="1:10" x14ac:dyDescent="0.45">
      <c r="D3" s="75" t="s">
        <v>2</v>
      </c>
      <c r="E3" s="114"/>
    </row>
    <row r="4" spans="1:10" x14ac:dyDescent="0.45">
      <c r="D4" s="75" t="s">
        <v>4</v>
      </c>
      <c r="E4" s="114"/>
    </row>
    <row r="6" spans="1:10" x14ac:dyDescent="0.45">
      <c r="D6" s="78"/>
      <c r="E6" s="16"/>
      <c r="F6" s="16"/>
      <c r="G6" s="16"/>
      <c r="I6" s="16"/>
      <c r="J6" s="16"/>
    </row>
    <row r="7" spans="1:10" x14ac:dyDescent="0.45">
      <c r="D7" s="78"/>
      <c r="E7" s="16"/>
      <c r="F7" s="16"/>
      <c r="G7" s="16"/>
      <c r="I7" s="16"/>
      <c r="J7" s="16"/>
    </row>
    <row r="8" spans="1:10" ht="15.75" x14ac:dyDescent="0.5">
      <c r="A8" s="1"/>
      <c r="B8" s="120"/>
      <c r="C8" s="120"/>
      <c r="D8" s="121"/>
      <c r="E8" s="120"/>
    </row>
    <row r="9" spans="1:10" ht="16.149999999999999" thickBot="1" x14ac:dyDescent="0.55000000000000004">
      <c r="A9" s="122"/>
      <c r="B9" s="122"/>
      <c r="C9" s="123"/>
      <c r="D9" s="124"/>
      <c r="E9" s="123"/>
      <c r="F9" s="125"/>
      <c r="G9" s="70"/>
      <c r="H9" s="70"/>
      <c r="I9" s="70"/>
      <c r="J9" s="126"/>
    </row>
    <row r="10" spans="1:10" ht="15.6" customHeight="1" thickBot="1" x14ac:dyDescent="0.5">
      <c r="A10" s="220" t="s">
        <v>46</v>
      </c>
      <c r="B10" s="221"/>
      <c r="C10" s="221"/>
      <c r="D10" s="221"/>
      <c r="E10" s="221"/>
      <c r="F10" s="221"/>
      <c r="G10" s="221"/>
      <c r="H10" s="221"/>
      <c r="I10" s="221"/>
      <c r="J10" s="222"/>
    </row>
    <row r="11" spans="1:10" ht="15.6" customHeight="1" x14ac:dyDescent="0.45">
      <c r="A11" s="91"/>
      <c r="B11" s="226" t="s">
        <v>85</v>
      </c>
      <c r="C11" s="226"/>
      <c r="D11" s="226"/>
      <c r="E11" s="226"/>
      <c r="F11" s="226"/>
      <c r="G11" s="226"/>
      <c r="H11" s="226"/>
      <c r="I11" s="226"/>
      <c r="J11" s="92"/>
    </row>
    <row r="12" spans="1:10" ht="15.6" customHeight="1" x14ac:dyDescent="0.45">
      <c r="A12" s="91"/>
      <c r="B12" s="227"/>
      <c r="C12" s="227"/>
      <c r="D12" s="227"/>
      <c r="E12" s="227"/>
      <c r="F12" s="227"/>
      <c r="G12" s="227"/>
      <c r="H12" s="227"/>
      <c r="I12" s="227"/>
      <c r="J12" s="92"/>
    </row>
    <row r="13" spans="1:10" ht="18.600000000000001" customHeight="1" x14ac:dyDescent="0.5">
      <c r="A13" s="87" t="s">
        <v>79</v>
      </c>
      <c r="B13" s="86"/>
      <c r="C13" s="127"/>
      <c r="D13" s="128"/>
      <c r="E13" s="127"/>
      <c r="F13" s="64"/>
      <c r="G13" s="228" t="str">
        <f>CONCATENATE("Refer to the SAAP Calculator for an estimated equivalent thickness based on provided dimensions.",
"The subsequent calculations will not account for any tapering of the block.", "For more accurate calculations,
enter the equivalent thickness given from an ASTM C140 Report.")</f>
        <v>Refer to the SAAP Calculator for an estimated equivalent thickness based on provided dimensions.The subsequent calculations will not account for any tapering of the block.For more accurate calculations,
enter the equivalent thickness given from an ASTM C140 Report.</v>
      </c>
      <c r="H13" s="228"/>
      <c r="I13" s="228"/>
      <c r="J13" s="229"/>
    </row>
    <row r="14" spans="1:10" x14ac:dyDescent="0.45">
      <c r="A14" s="203" t="s">
        <v>101</v>
      </c>
      <c r="B14" s="129"/>
      <c r="C14" s="130"/>
      <c r="D14" s="131"/>
      <c r="E14" s="63">
        <v>8</v>
      </c>
      <c r="F14" s="132"/>
      <c r="G14" s="228"/>
      <c r="H14" s="228"/>
      <c r="I14" s="228"/>
      <c r="J14" s="229"/>
    </row>
    <row r="15" spans="1:10" x14ac:dyDescent="0.45">
      <c r="A15" s="203"/>
      <c r="B15" s="129"/>
      <c r="C15" s="130"/>
      <c r="D15" s="131"/>
      <c r="E15" s="132"/>
      <c r="F15" s="132"/>
      <c r="G15" s="228"/>
      <c r="H15" s="228"/>
      <c r="I15" s="228"/>
      <c r="J15" s="229"/>
    </row>
    <row r="16" spans="1:10" x14ac:dyDescent="0.45">
      <c r="A16" s="204" t="s">
        <v>80</v>
      </c>
      <c r="B16" s="129"/>
      <c r="C16" s="130"/>
      <c r="D16" s="131"/>
      <c r="E16" s="132"/>
      <c r="F16" s="132"/>
      <c r="G16" s="228"/>
      <c r="H16" s="228"/>
      <c r="I16" s="228"/>
      <c r="J16" s="229"/>
    </row>
    <row r="17" spans="1:10" x14ac:dyDescent="0.45">
      <c r="A17" s="203"/>
      <c r="B17" s="129"/>
      <c r="C17" s="130"/>
      <c r="D17" s="77"/>
      <c r="E17" s="132" t="s">
        <v>49</v>
      </c>
      <c r="F17" s="132"/>
      <c r="G17" s="132"/>
      <c r="H17" s="135"/>
      <c r="I17" s="135"/>
      <c r="J17" s="136"/>
    </row>
    <row r="18" spans="1:10" x14ac:dyDescent="0.45">
      <c r="A18" s="205" t="s">
        <v>25</v>
      </c>
      <c r="B18" s="137"/>
      <c r="C18" s="138"/>
      <c r="D18" s="77"/>
      <c r="E18" s="65">
        <v>35</v>
      </c>
      <c r="F18" s="64"/>
      <c r="G18" s="228" t="str">
        <f>IF(OR(E22&lt;100%,E22&gt;100%),"The aggregate compostion must equal 100%
 Adjust accordingly","")</f>
        <v/>
      </c>
      <c r="H18" s="228"/>
      <c r="I18" s="228"/>
      <c r="J18" s="139"/>
    </row>
    <row r="19" spans="1:10" x14ac:dyDescent="0.45">
      <c r="A19" s="205" t="s">
        <v>24</v>
      </c>
      <c r="B19" s="129"/>
      <c r="C19" s="130"/>
      <c r="D19" s="77"/>
      <c r="E19" s="65">
        <v>25</v>
      </c>
      <c r="F19" s="64"/>
      <c r="G19" s="228"/>
      <c r="H19" s="228"/>
      <c r="I19" s="228"/>
      <c r="J19" s="139"/>
    </row>
    <row r="20" spans="1:10" x14ac:dyDescent="0.45">
      <c r="A20" s="205" t="s">
        <v>23</v>
      </c>
      <c r="B20" s="129"/>
      <c r="C20" s="130"/>
      <c r="D20" s="77"/>
      <c r="E20" s="65">
        <v>15</v>
      </c>
      <c r="F20" s="64"/>
      <c r="G20" s="228"/>
      <c r="H20" s="228"/>
      <c r="I20" s="228"/>
      <c r="J20" s="47"/>
    </row>
    <row r="21" spans="1:10" x14ac:dyDescent="0.45">
      <c r="A21" s="205" t="s">
        <v>22</v>
      </c>
      <c r="B21" s="129"/>
      <c r="C21" s="130"/>
      <c r="D21" s="77"/>
      <c r="E21" s="65">
        <v>25</v>
      </c>
      <c r="F21" s="132"/>
      <c r="G21" s="64"/>
      <c r="H21" s="64"/>
      <c r="I21" s="64"/>
      <c r="J21" s="47"/>
    </row>
    <row r="22" spans="1:10" ht="14.65" thickBot="1" x14ac:dyDescent="0.5">
      <c r="A22" s="140"/>
      <c r="B22" s="141"/>
      <c r="C22" s="142"/>
      <c r="D22" s="79"/>
      <c r="E22" s="143">
        <f>SUM(E18:E21)/100</f>
        <v>1</v>
      </c>
      <c r="F22" s="144"/>
      <c r="G22" s="66"/>
      <c r="H22" s="66"/>
      <c r="I22" s="66"/>
      <c r="J22" s="52"/>
    </row>
    <row r="23" spans="1:10" s="67" customFormat="1" ht="15.75" x14ac:dyDescent="0.5">
      <c r="A23" s="145"/>
      <c r="B23" s="146"/>
      <c r="C23" s="147"/>
      <c r="D23" s="148"/>
      <c r="E23" s="147"/>
      <c r="F23" s="149"/>
      <c r="G23" s="108"/>
      <c r="H23" s="108"/>
      <c r="I23" s="108"/>
      <c r="J23" s="150"/>
    </row>
    <row r="24" spans="1:10" x14ac:dyDescent="0.45">
      <c r="A24" s="223" t="s">
        <v>47</v>
      </c>
      <c r="B24" s="224"/>
      <c r="C24" s="224"/>
      <c r="D24" s="224"/>
      <c r="E24" s="224"/>
      <c r="F24" s="224"/>
      <c r="G24" s="224"/>
      <c r="H24" s="224"/>
      <c r="I24" s="224"/>
      <c r="J24" s="225"/>
    </row>
    <row r="25" spans="1:10" x14ac:dyDescent="0.45">
      <c r="A25" s="91"/>
      <c r="B25" s="227" t="s">
        <v>86</v>
      </c>
      <c r="C25" s="227"/>
      <c r="D25" s="227"/>
      <c r="E25" s="227"/>
      <c r="F25" s="227"/>
      <c r="G25" s="227"/>
      <c r="H25" s="227"/>
      <c r="I25" s="227"/>
      <c r="J25" s="151"/>
    </row>
    <row r="26" spans="1:10" x14ac:dyDescent="0.45">
      <c r="A26" s="91"/>
      <c r="B26" s="227"/>
      <c r="C26" s="227"/>
      <c r="D26" s="227"/>
      <c r="E26" s="227"/>
      <c r="F26" s="227"/>
      <c r="G26" s="227"/>
      <c r="H26" s="227"/>
      <c r="I26" s="227"/>
      <c r="J26" s="151"/>
    </row>
    <row r="27" spans="1:10" x14ac:dyDescent="0.45">
      <c r="A27" s="87" t="s">
        <v>81</v>
      </c>
      <c r="B27" s="129"/>
      <c r="C27" s="130"/>
      <c r="D27" s="131"/>
      <c r="E27" s="130"/>
      <c r="F27" s="132"/>
      <c r="G27" s="130"/>
      <c r="H27" s="130"/>
      <c r="I27" s="130"/>
      <c r="J27" s="151"/>
    </row>
    <row r="28" spans="1:10" x14ac:dyDescent="0.45">
      <c r="A28" s="203" t="s">
        <v>48</v>
      </c>
      <c r="B28" s="129"/>
      <c r="C28" s="130"/>
      <c r="D28" s="131"/>
      <c r="E28" s="65">
        <v>2</v>
      </c>
      <c r="F28" s="132"/>
      <c r="G28" s="130"/>
      <c r="H28" s="64"/>
      <c r="I28" s="64"/>
      <c r="J28" s="47"/>
    </row>
    <row r="29" spans="1:10" x14ac:dyDescent="0.45">
      <c r="A29" s="203" t="s">
        <v>100</v>
      </c>
      <c r="B29" s="129"/>
      <c r="C29" s="130"/>
      <c r="D29" s="131"/>
      <c r="E29" s="65" t="s">
        <v>105</v>
      </c>
      <c r="F29" s="132"/>
      <c r="G29" s="130"/>
      <c r="H29" s="130"/>
      <c r="I29" s="130"/>
      <c r="J29" s="151"/>
    </row>
    <row r="30" spans="1:10" x14ac:dyDescent="0.45">
      <c r="A30" s="203"/>
      <c r="B30" s="129"/>
      <c r="C30" s="130"/>
      <c r="D30" s="131"/>
      <c r="E30" s="65"/>
      <c r="F30" s="132"/>
      <c r="G30" s="130"/>
      <c r="H30" s="130"/>
      <c r="I30" s="130"/>
      <c r="J30" s="139"/>
    </row>
    <row r="31" spans="1:10" x14ac:dyDescent="0.45">
      <c r="A31" s="203" t="s">
        <v>94</v>
      </c>
      <c r="B31" s="129"/>
      <c r="C31" s="130"/>
      <c r="D31" s="131"/>
      <c r="E31" s="65" t="s">
        <v>106</v>
      </c>
      <c r="F31" s="132"/>
      <c r="G31" s="130"/>
      <c r="H31" s="130"/>
      <c r="I31" s="130"/>
      <c r="J31" s="151"/>
    </row>
    <row r="32" spans="1:10" x14ac:dyDescent="0.45">
      <c r="A32" s="87" t="str">
        <f>IF($E$31="Fire Rating","Step 2a: Enter Fire Rating of Wythe(s) ","Step 2a: Enter Equivalent Thickness of Wythe(s) ")</f>
        <v xml:space="preserve">Step 2a: Enter Equivalent Thickness of Wythe(s) </v>
      </c>
      <c r="B32" s="129"/>
      <c r="C32" s="130"/>
      <c r="D32" s="131"/>
      <c r="E32" s="213"/>
      <c r="F32" s="132"/>
      <c r="G32" s="130"/>
      <c r="H32" s="130"/>
      <c r="I32" s="130"/>
      <c r="J32" s="151"/>
    </row>
    <row r="33" spans="1:10" x14ac:dyDescent="0.45">
      <c r="A33" s="203" t="str">
        <f>IF(AND($E$28&gt;1,$E$31="Fire Rating",OR($E$30="Clay / CMU / Clay",$E$29="Clay / CMU",$E$30="Clay / CMU / CMU")),"Enter the fire rating of clay wythe #1",IF(AND($E$28&gt;1,$E$31="Fire Rating",OR($E$30="CMU / CMU / CMU",$E$29="CMU / CMU")),"Enter the fire rating of CMU wythe #1",IF(AND($E$28&gt;1,$E$31="Equivalent Thickness",OR($E$30="Clay / CMU / Clay",$E$29="Clay / CMU",$E$30="Clay / CMU / CMU")),"Enter the equivalent thickness of clay wythe #1","Enter the equivalent thickness of CMU wythe #1")))</f>
        <v>Enter the equivalent thickness of clay wythe #1</v>
      </c>
      <c r="B33" s="129"/>
      <c r="C33" s="130"/>
      <c r="D33" s="131"/>
      <c r="E33" s="65">
        <v>3</v>
      </c>
      <c r="F33" s="152" t="str">
        <f>IF(AND($E$28&gt;1,$E$31="Fire Rating"),"hours", IF(AND($E$28&gt;1,$E$31="Equivalent Thickness"), "in.",""))</f>
        <v>in.</v>
      </c>
      <c r="G33" s="232" t="str">
        <f>IF($E$31="Equivalent Thickness","",IF(AND($E$31="Fire Rating",1&lt;=$E33,$E33&lt;=4),"","Enter a fire rating between 1 hr and 4 hrs."))</f>
        <v/>
      </c>
      <c r="H33" s="232"/>
      <c r="I33" s="232"/>
      <c r="J33" s="151"/>
    </row>
    <row r="34" spans="1:10" x14ac:dyDescent="0.45">
      <c r="A34" s="203" t="str">
        <f>IF(AND($E$28&gt;2,$E$31="Fire Rating",OR($E$30="Clay / CMU / Clay",$E$29="Clay / CMU")),"Enter the fire rating of clay wythe #2",IF(AND($E$28&gt;2,$E$31="Fire Rating",OR($E$30="CMU / CMU / CMU",$E$29="CMU / CMU",E30="Clay / CMU / CMU")),"Enter the fire rating of CMU wythe #2",IF(AND($E$28&gt;2,$E$31="Equivalent Thickness",OR($E$30="Clay / CMU / Clay",$E$29="Clay / CMU")),"Enter the equivalent thickness of clay wythe #2",IF(AND($E$28&gt;2,$E$31="Equivalent Thickness",OR($E$30="CMU / CMU / CMU",$E$29="CMU / CMU",$E$30="Clay / CMU / CMU")),"Enter the equivalent thickness of CMU wythe #2",""))))</f>
        <v/>
      </c>
      <c r="B34" s="129"/>
      <c r="C34" s="130"/>
      <c r="D34" s="131"/>
      <c r="E34" s="65"/>
      <c r="F34" s="152" t="str">
        <f>IF(AND($E$28&gt;2,$E$31="Fire Rating"),"hours", IF(AND($E$28&gt;2,$E$31="Equivalent Thickness"), "in.",""))</f>
        <v/>
      </c>
      <c r="G34" s="232" t="str">
        <f>IF(OR($E$31="Equivalent Thickness",A34=""),"",IF(AND(E28=3,$E$31="Fire Rating",1&lt;=$E34,$E34&lt;=4),"","Enter a fire rating between 1 hr and 4 hrs."))</f>
        <v/>
      </c>
      <c r="H34" s="232"/>
      <c r="I34" s="232"/>
      <c r="J34" s="151"/>
    </row>
    <row r="35" spans="1:10" x14ac:dyDescent="0.45">
      <c r="A35" s="203"/>
      <c r="B35" s="129"/>
      <c r="C35" s="130"/>
      <c r="D35" s="131"/>
      <c r="E35" s="213"/>
      <c r="F35" s="152"/>
      <c r="G35" s="132"/>
      <c r="H35" s="132"/>
      <c r="I35" s="132"/>
      <c r="J35" s="151"/>
    </row>
    <row r="36" spans="1:10" x14ac:dyDescent="0.45">
      <c r="A36" s="87" t="str">
        <f>IF(AND($E$31="Equivalent Thickness",OR(E29="Clay / CMU",E30="Clay / CMU / Clay",$E$30="Clay / CMU / CMU")),"Step 2b: Enter Type of Clay Wythe(s)","")</f>
        <v>Step 2b: Enter Type of Clay Wythe(s)</v>
      </c>
      <c r="B36" s="129"/>
      <c r="C36" s="130"/>
      <c r="D36" s="131"/>
      <c r="E36" s="214"/>
      <c r="F36" s="132"/>
      <c r="G36" s="130"/>
      <c r="H36" s="130"/>
      <c r="I36" s="130"/>
      <c r="J36" s="151"/>
    </row>
    <row r="37" spans="1:10" x14ac:dyDescent="0.45">
      <c r="A37" s="203" t="str">
        <f>IF(AND($E$31="Equivalent Thickness",$E$28&gt;=2,OR(E29="Clay / CMU",E30="Clay / CMU / Clay",$E$30="Clay / CMU / CMU")),"What is clay wythe #1 material type?","")</f>
        <v>What is clay wythe #1 material type?</v>
      </c>
      <c r="B37" s="129"/>
      <c r="C37" s="130"/>
      <c r="D37" s="131"/>
      <c r="E37" s="69" t="s">
        <v>15</v>
      </c>
      <c r="F37" s="132"/>
      <c r="G37" s="130"/>
      <c r="H37" s="130"/>
      <c r="I37" s="130"/>
      <c r="J37" s="151"/>
    </row>
    <row r="38" spans="1:10" x14ac:dyDescent="0.45">
      <c r="A38" s="203" t="str">
        <f>IF(AND($E$31="Equivalent Thickness",$E$28&gt;2,OR(E29="Clay / CMU",E30="Clay / CMU / Clay")),"What is clay wythe #2 material type?","")</f>
        <v/>
      </c>
      <c r="B38" s="129"/>
      <c r="C38" s="130"/>
      <c r="D38" s="131"/>
      <c r="E38" s="89"/>
      <c r="F38" s="153"/>
      <c r="G38" s="154"/>
      <c r="H38" s="154"/>
      <c r="I38" s="154"/>
      <c r="J38" s="151"/>
    </row>
    <row r="39" spans="1:10" x14ac:dyDescent="0.45">
      <c r="A39" s="203"/>
      <c r="B39" s="129"/>
      <c r="C39" s="130"/>
      <c r="D39" s="131"/>
      <c r="E39" s="213"/>
      <c r="F39" s="153"/>
      <c r="G39" s="154"/>
      <c r="H39" s="154"/>
      <c r="I39" s="154"/>
      <c r="J39" s="151"/>
    </row>
    <row r="40" spans="1:10" x14ac:dyDescent="0.45">
      <c r="A40" s="87" t="str">
        <f>IF(AND($E$31="Equivalent Thickness",$E$28&gt;=2,E30="Clay / CMU / CMU"),"Step 2c: Enter CMU Wythe Composition",IF(AND($E$31="Equivalent Thickness",$E$28&gt;=2,A45="CMU Wythe #1 Composition"),"Step 2b: Enter CMU Wythe Composition",""))</f>
        <v/>
      </c>
      <c r="B40" s="129"/>
      <c r="C40" s="130"/>
      <c r="D40" s="131"/>
      <c r="E40" s="213"/>
      <c r="F40" s="153"/>
      <c r="G40" s="154"/>
      <c r="H40" s="154"/>
      <c r="I40" s="154"/>
      <c r="J40" s="151"/>
    </row>
    <row r="41" spans="1:10" x14ac:dyDescent="0.45">
      <c r="A41" s="206" t="str">
        <f>IF(AND($E$31="Equivalent Thickness",$E$28&gt;=2,OR(E29="CMU / CMU",E30="CMU / CMU / CMU")), "CMU Wythe #1 Composition","")</f>
        <v/>
      </c>
      <c r="B41" s="129"/>
      <c r="C41" s="130"/>
      <c r="D41" s="77"/>
      <c r="E41" s="215"/>
      <c r="F41" s="153"/>
      <c r="G41" s="154"/>
      <c r="H41" s="154"/>
      <c r="I41" s="154"/>
      <c r="J41" s="151"/>
    </row>
    <row r="42" spans="1:10" x14ac:dyDescent="0.45">
      <c r="A42" s="205" t="str">
        <f>IF(AND($E$31="Equivalent Thickness",$E$28&gt;=2,OR(E29="CMU / CMU",E30="CMU / CMU / CMU")),"Calcareous or Siliceous Gravel","")</f>
        <v/>
      </c>
      <c r="B42" s="137"/>
      <c r="C42" s="138"/>
      <c r="D42" s="77"/>
      <c r="E42" s="107"/>
      <c r="F42" s="153"/>
      <c r="G42" s="228" t="str">
        <f>IF(AND(A41="CMU Wythe #1 Composition",OR(E46&lt;100%,E46&gt;100%)),"The aggregate compostion must equal 100%
 Adjust accordingly","")</f>
        <v/>
      </c>
      <c r="H42" s="228"/>
      <c r="I42" s="228"/>
      <c r="J42" s="151"/>
    </row>
    <row r="43" spans="1:10" x14ac:dyDescent="0.45">
      <c r="A43" s="205" t="str">
        <f>IF(AND($E$31="Equivalent Thickness",$E$28&gt;=2,OR(E29="CMU / CMU",E30="CMU / CMU / CMU")),"Limestone, Cinders or Unexpanded Slag","")</f>
        <v/>
      </c>
      <c r="B43" s="129"/>
      <c r="C43" s="130"/>
      <c r="D43" s="77"/>
      <c r="E43" s="65"/>
      <c r="F43" s="153"/>
      <c r="G43" s="228"/>
      <c r="H43" s="228"/>
      <c r="I43" s="228"/>
      <c r="J43" s="151"/>
    </row>
    <row r="44" spans="1:10" x14ac:dyDescent="0.45">
      <c r="A44" s="205" t="str">
        <f>IF(AND($E$31="Equivalent Thickness",$E$28&gt;=2,OR(E29="CMU / CMU",E30="CMU / CMU / CMU")),"Expanded clay, shale, or slate","")</f>
        <v/>
      </c>
      <c r="B44" s="129"/>
      <c r="C44" s="130"/>
      <c r="D44" s="77"/>
      <c r="E44" s="65"/>
      <c r="F44" s="153"/>
      <c r="G44" s="228"/>
      <c r="H44" s="228"/>
      <c r="I44" s="228"/>
      <c r="J44" s="151"/>
    </row>
    <row r="45" spans="1:10" x14ac:dyDescent="0.45">
      <c r="A45" s="205" t="str">
        <f>IF(AND($E$31="Equivalent Thickness",$E$28&gt;=2,OR(E29="CMU / CMU",E30="CMU / CMU / CMU")),"Expanded slag or pumice","")</f>
        <v/>
      </c>
      <c r="B45" s="129"/>
      <c r="C45" s="130"/>
      <c r="D45" s="77"/>
      <c r="E45" s="65"/>
      <c r="F45" s="153"/>
      <c r="G45" s="154"/>
      <c r="H45" s="154"/>
      <c r="I45" s="154"/>
      <c r="J45" s="151"/>
    </row>
    <row r="46" spans="1:10" x14ac:dyDescent="0.45">
      <c r="A46" s="203"/>
      <c r="B46" s="129"/>
      <c r="C46" s="130"/>
      <c r="D46" s="77"/>
      <c r="E46" s="155">
        <f>SUM(E42:E45)/100</f>
        <v>0</v>
      </c>
      <c r="F46" s="154"/>
      <c r="G46" s="154"/>
      <c r="H46" s="154"/>
      <c r="I46" s="154"/>
      <c r="J46" s="151"/>
    </row>
    <row r="47" spans="1:10" x14ac:dyDescent="0.45">
      <c r="A47" s="203"/>
      <c r="B47" s="129"/>
      <c r="C47" s="130"/>
      <c r="D47" s="77"/>
      <c r="E47" s="216"/>
      <c r="F47" s="153"/>
      <c r="G47" s="154"/>
      <c r="H47" s="154"/>
      <c r="I47" s="154"/>
      <c r="J47" s="151"/>
    </row>
    <row r="48" spans="1:10" x14ac:dyDescent="0.45">
      <c r="A48" s="203" t="str">
        <f>IF(AND($E$31="Equivalent Thickness",$E$28&gt;2,OR(E29="CMU / CMU",E30="CMU / CMU / CMU",$E$30="Clay / CMU / CMU")), "CMU Wythe #2 Composition","")</f>
        <v/>
      </c>
      <c r="B48" s="129"/>
      <c r="C48" s="130"/>
      <c r="D48" s="77"/>
      <c r="E48" s="216"/>
      <c r="F48" s="153"/>
      <c r="G48" s="154"/>
      <c r="H48" s="154"/>
      <c r="I48" s="154"/>
      <c r="J48" s="151"/>
    </row>
    <row r="49" spans="1:10" x14ac:dyDescent="0.45">
      <c r="A49" s="205" t="str">
        <f>IF(AND($E$31="Equivalent Thickness",$E$28&gt;2,OR(E29="CMU / CMU",E30="CMU / CMU / CMU",$E$30="Clay / CMU / CMU")), "Calcareous or Siliceous Gravel","")</f>
        <v/>
      </c>
      <c r="B49" s="137"/>
      <c r="C49" s="138"/>
      <c r="D49" s="77"/>
      <c r="E49" s="107"/>
      <c r="F49" s="153"/>
      <c r="G49" s="228" t="str">
        <f>IF(AND(A48="CMU Wythe #2 Composition",OR(E53&lt;100%,E53&gt;100%)),"The aggregate compostion must equal 100%
 Adjust accordingly","")</f>
        <v/>
      </c>
      <c r="H49" s="228"/>
      <c r="I49" s="228"/>
      <c r="J49" s="151"/>
    </row>
    <row r="50" spans="1:10" x14ac:dyDescent="0.45">
      <c r="A50" s="205" t="str">
        <f>IF(AND($E$31="Equivalent Thickness",$E$28&gt;2,OR(E29="CMU / CMU",E30="CMU / CMU / CMU",$E$30="Clay / CMU / CMU")), "Limestone, Cinders or Unexpanded Slag","")</f>
        <v/>
      </c>
      <c r="B50" s="129"/>
      <c r="C50" s="130"/>
      <c r="D50" s="77"/>
      <c r="E50" s="65"/>
      <c r="F50" s="153"/>
      <c r="G50" s="228"/>
      <c r="H50" s="228"/>
      <c r="I50" s="228"/>
      <c r="J50" s="151"/>
    </row>
    <row r="51" spans="1:10" x14ac:dyDescent="0.45">
      <c r="A51" s="205" t="str">
        <f>IF(AND($E$31="Equivalent Thickness",$E$28&gt;2,OR(E29="CMU / CMU",E30="CMU / CMU / CMU",$E$30="Clay / CMU / CMU")), "Expanded clay, shale, or slate","")</f>
        <v/>
      </c>
      <c r="B51" s="129"/>
      <c r="C51" s="130"/>
      <c r="D51" s="77"/>
      <c r="E51" s="65"/>
      <c r="F51" s="153"/>
      <c r="G51" s="228"/>
      <c r="H51" s="228"/>
      <c r="I51" s="228"/>
      <c r="J51" s="151"/>
    </row>
    <row r="52" spans="1:10" x14ac:dyDescent="0.45">
      <c r="A52" s="205" t="str">
        <f>IF(AND($E$31="Equivalent Thickness",$E$28&gt;2,OR(E29="CMU / CMU",E30="CMU / CMU / CMU",$E$30="Clay / CMU / CMU")), "Expanded slag or pumice","")</f>
        <v/>
      </c>
      <c r="B52" s="129"/>
      <c r="C52" s="130"/>
      <c r="D52" s="77"/>
      <c r="E52" s="65"/>
      <c r="F52" s="153"/>
      <c r="G52" s="154"/>
      <c r="H52" s="154"/>
      <c r="I52" s="154"/>
      <c r="J52" s="151"/>
    </row>
    <row r="53" spans="1:10" ht="14.65" thickBot="1" x14ac:dyDescent="0.5">
      <c r="A53" s="140"/>
      <c r="B53" s="141"/>
      <c r="C53" s="142"/>
      <c r="D53" s="79"/>
      <c r="E53" s="143">
        <f>SUM(E49:E52)/100</f>
        <v>0</v>
      </c>
      <c r="F53" s="156"/>
      <c r="G53" s="157"/>
      <c r="H53" s="157"/>
      <c r="I53" s="157"/>
      <c r="J53" s="158"/>
    </row>
    <row r="54" spans="1:10" x14ac:dyDescent="0.45">
      <c r="A54" s="159"/>
      <c r="B54" s="159"/>
      <c r="C54" s="160"/>
      <c r="D54" s="111"/>
      <c r="E54" s="111"/>
      <c r="F54" s="161"/>
      <c r="G54" s="160"/>
      <c r="H54" s="160"/>
      <c r="I54" s="160"/>
      <c r="J54" s="162"/>
    </row>
    <row r="55" spans="1:10" x14ac:dyDescent="0.45">
      <c r="A55" s="129"/>
      <c r="B55" s="129"/>
      <c r="C55" s="130"/>
      <c r="D55" s="130"/>
      <c r="E55" s="130"/>
      <c r="F55" s="153"/>
      <c r="G55" s="154"/>
      <c r="H55" s="154"/>
      <c r="I55" s="154"/>
      <c r="J55" s="154"/>
    </row>
    <row r="56" spans="1:10" x14ac:dyDescent="0.45">
      <c r="A56" s="129"/>
      <c r="B56" s="129"/>
      <c r="C56" s="130"/>
      <c r="D56" s="130"/>
      <c r="E56" s="130"/>
      <c r="F56" s="153"/>
      <c r="G56" s="154"/>
      <c r="H56" s="154"/>
      <c r="I56" s="154"/>
      <c r="J56" s="154"/>
    </row>
    <row r="57" spans="1:10" x14ac:dyDescent="0.45">
      <c r="A57" s="129"/>
      <c r="B57" s="129"/>
      <c r="C57" s="130"/>
      <c r="D57" s="130"/>
      <c r="E57" s="130"/>
      <c r="F57" s="153"/>
      <c r="G57" s="154"/>
      <c r="H57" s="154"/>
      <c r="I57" s="154"/>
      <c r="J57" s="154"/>
    </row>
    <row r="58" spans="1:10" x14ac:dyDescent="0.45">
      <c r="A58" s="129"/>
      <c r="B58" s="129"/>
      <c r="C58" s="130"/>
      <c r="D58" s="130"/>
      <c r="E58" s="130"/>
      <c r="F58" s="153"/>
      <c r="G58" s="154"/>
      <c r="H58" s="154"/>
      <c r="I58" s="154"/>
      <c r="J58" s="154"/>
    </row>
    <row r="59" spans="1:10" x14ac:dyDescent="0.45">
      <c r="A59" s="129"/>
      <c r="B59" s="129"/>
      <c r="C59" s="130"/>
      <c r="D59" s="130"/>
      <c r="E59" s="130"/>
      <c r="F59" s="153"/>
      <c r="G59" s="154"/>
      <c r="H59" s="154"/>
      <c r="I59" s="154"/>
      <c r="J59" s="154"/>
    </row>
    <row r="60" spans="1:10" x14ac:dyDescent="0.45">
      <c r="A60" s="129"/>
      <c r="B60" s="129"/>
      <c r="C60" s="130"/>
      <c r="D60" s="130"/>
      <c r="E60" s="130"/>
      <c r="F60" s="153"/>
      <c r="G60" s="154"/>
      <c r="H60" s="154"/>
      <c r="I60" s="154"/>
      <c r="J60" s="154"/>
    </row>
    <row r="61" spans="1:10" x14ac:dyDescent="0.45">
      <c r="A61" s="129"/>
      <c r="B61" s="129"/>
      <c r="C61" s="130"/>
      <c r="D61" s="130"/>
      <c r="E61" s="130"/>
      <c r="F61" s="153"/>
      <c r="G61" s="154"/>
      <c r="H61" s="154"/>
      <c r="I61" s="154"/>
      <c r="J61" s="154"/>
    </row>
    <row r="62" spans="1:10" x14ac:dyDescent="0.45">
      <c r="A62" s="129"/>
      <c r="B62" s="129"/>
      <c r="C62" s="130"/>
      <c r="D62" s="130"/>
      <c r="E62" s="130"/>
      <c r="F62" s="153"/>
      <c r="G62" s="154"/>
      <c r="H62" s="154"/>
      <c r="I62" s="154"/>
      <c r="J62" s="154"/>
    </row>
    <row r="63" spans="1:10" x14ac:dyDescent="0.45">
      <c r="A63" s="129"/>
      <c r="B63" s="129"/>
      <c r="C63" s="130"/>
      <c r="D63" s="130"/>
      <c r="E63" s="130"/>
      <c r="F63" s="153"/>
      <c r="G63" s="154"/>
      <c r="H63" s="154"/>
      <c r="I63" s="154"/>
      <c r="J63" s="154"/>
    </row>
    <row r="64" spans="1:10" x14ac:dyDescent="0.45">
      <c r="A64" s="129"/>
      <c r="B64" s="129"/>
      <c r="C64" s="130"/>
      <c r="D64" s="130"/>
      <c r="E64" s="130"/>
      <c r="F64" s="153"/>
      <c r="G64" s="154"/>
      <c r="H64" s="154"/>
      <c r="I64" s="154"/>
      <c r="J64" s="154"/>
    </row>
    <row r="65" spans="1:10" x14ac:dyDescent="0.45">
      <c r="A65" s="129"/>
      <c r="B65" s="129"/>
      <c r="C65" s="130"/>
      <c r="D65" s="130"/>
      <c r="E65" s="130"/>
      <c r="F65" s="153"/>
      <c r="G65" s="154"/>
      <c r="H65" s="154"/>
      <c r="I65" s="154"/>
      <c r="J65" s="154"/>
    </row>
    <row r="66" spans="1:10" x14ac:dyDescent="0.45">
      <c r="A66" s="129"/>
      <c r="B66" s="129"/>
      <c r="C66" s="130"/>
      <c r="D66" s="130"/>
      <c r="E66" s="130"/>
      <c r="F66" s="153"/>
      <c r="G66" s="154"/>
      <c r="H66" s="154"/>
      <c r="I66" s="154"/>
      <c r="J66" s="154"/>
    </row>
    <row r="67" spans="1:10" x14ac:dyDescent="0.45">
      <c r="A67" s="129"/>
      <c r="B67" s="129"/>
      <c r="C67" s="130"/>
      <c r="D67" s="130"/>
      <c r="E67" s="130"/>
      <c r="F67" s="153"/>
      <c r="G67" s="154"/>
      <c r="H67" s="154"/>
      <c r="I67" s="154"/>
      <c r="J67" s="154"/>
    </row>
    <row r="68" spans="1:10" x14ac:dyDescent="0.45">
      <c r="A68" s="129"/>
      <c r="B68" s="129"/>
      <c r="C68" s="130"/>
      <c r="D68" s="130"/>
      <c r="E68" s="130"/>
      <c r="F68" s="153"/>
      <c r="G68" s="154"/>
      <c r="H68" s="154"/>
      <c r="I68" s="154"/>
      <c r="J68" s="154"/>
    </row>
    <row r="69" spans="1:10" x14ac:dyDescent="0.45">
      <c r="A69" s="129"/>
      <c r="B69" s="129"/>
      <c r="C69" s="130"/>
      <c r="D69" s="130"/>
      <c r="E69" s="130"/>
      <c r="F69" s="153"/>
      <c r="G69" s="154"/>
      <c r="H69" s="154"/>
      <c r="I69" s="154"/>
      <c r="J69" s="154"/>
    </row>
    <row r="70" spans="1:10" x14ac:dyDescent="0.45">
      <c r="A70" s="129"/>
      <c r="B70" s="129"/>
      <c r="C70" s="130"/>
      <c r="D70" s="130"/>
      <c r="E70" s="130"/>
      <c r="F70" s="153"/>
      <c r="G70" s="154"/>
      <c r="H70" s="154"/>
      <c r="I70" s="154"/>
      <c r="J70" s="154"/>
    </row>
    <row r="71" spans="1:10" x14ac:dyDescent="0.45">
      <c r="A71" s="129"/>
      <c r="B71" s="129"/>
      <c r="C71" s="130"/>
      <c r="D71" s="130"/>
      <c r="E71" s="130"/>
      <c r="F71" s="153"/>
      <c r="G71" s="154"/>
      <c r="H71" s="154"/>
      <c r="I71" s="154"/>
      <c r="J71" s="154"/>
    </row>
    <row r="72" spans="1:10" x14ac:dyDescent="0.45">
      <c r="A72" s="129"/>
      <c r="B72" s="129"/>
      <c r="C72" s="130"/>
      <c r="D72" s="130"/>
      <c r="E72" s="130"/>
      <c r="F72" s="153"/>
      <c r="G72" s="154"/>
      <c r="H72" s="154"/>
      <c r="I72" s="154"/>
      <c r="J72" s="154"/>
    </row>
    <row r="73" spans="1:10" x14ac:dyDescent="0.45">
      <c r="A73" s="129"/>
      <c r="B73" s="129"/>
      <c r="C73" s="130"/>
      <c r="D73" s="130"/>
      <c r="E73" s="130"/>
      <c r="F73" s="153"/>
      <c r="G73" s="154"/>
      <c r="H73" s="154"/>
      <c r="I73" s="154"/>
      <c r="J73" s="154"/>
    </row>
    <row r="74" spans="1:10" x14ac:dyDescent="0.45">
      <c r="A74" s="129"/>
      <c r="B74" s="129"/>
      <c r="C74" s="130"/>
      <c r="D74" s="130"/>
      <c r="E74" s="130"/>
      <c r="F74" s="153"/>
      <c r="G74" s="154"/>
      <c r="H74" s="154"/>
      <c r="I74" s="154"/>
      <c r="J74" s="154"/>
    </row>
    <row r="75" spans="1:10" x14ac:dyDescent="0.45">
      <c r="A75" s="129"/>
      <c r="B75" s="129"/>
      <c r="C75" s="130"/>
      <c r="D75" s="130"/>
      <c r="E75" s="130"/>
      <c r="F75" s="153"/>
      <c r="G75" s="154"/>
      <c r="H75" s="154"/>
      <c r="I75" s="154"/>
      <c r="J75" s="154"/>
    </row>
    <row r="76" spans="1:10" x14ac:dyDescent="0.45">
      <c r="A76" s="129"/>
      <c r="B76" s="129"/>
      <c r="C76" s="130"/>
      <c r="D76" s="130"/>
      <c r="E76" s="130"/>
      <c r="F76" s="153"/>
      <c r="G76" s="154"/>
      <c r="H76" s="154"/>
      <c r="I76" s="154"/>
      <c r="J76" s="154"/>
    </row>
    <row r="77" spans="1:10" x14ac:dyDescent="0.45">
      <c r="A77" s="129"/>
      <c r="B77" s="129"/>
      <c r="C77" s="130"/>
      <c r="D77" s="130"/>
      <c r="E77" s="130"/>
      <c r="F77" s="153"/>
      <c r="G77" s="154"/>
      <c r="H77" s="154"/>
      <c r="I77" s="154"/>
      <c r="J77" s="154"/>
    </row>
    <row r="78" spans="1:10" x14ac:dyDescent="0.45">
      <c r="A78" s="129"/>
      <c r="B78" s="129"/>
      <c r="C78" s="130"/>
      <c r="D78" s="130"/>
      <c r="E78" s="130"/>
      <c r="F78" s="153"/>
      <c r="G78" s="154"/>
      <c r="H78" s="154"/>
      <c r="I78" s="154"/>
      <c r="J78" s="154"/>
    </row>
    <row r="79" spans="1:10" x14ac:dyDescent="0.45">
      <c r="A79" s="129"/>
      <c r="B79" s="129"/>
      <c r="C79" s="130"/>
      <c r="D79" s="130"/>
      <c r="E79" s="130"/>
      <c r="F79" s="153"/>
      <c r="G79" s="154"/>
      <c r="H79" s="154"/>
      <c r="I79" s="154"/>
      <c r="J79" s="154"/>
    </row>
    <row r="80" spans="1:10" x14ac:dyDescent="0.45">
      <c r="A80" s="129"/>
      <c r="B80" s="129"/>
      <c r="C80" s="130"/>
      <c r="D80" s="130"/>
      <c r="E80" s="130"/>
      <c r="F80" s="153"/>
      <c r="G80" s="154"/>
      <c r="H80" s="154"/>
      <c r="I80" s="154"/>
      <c r="J80" s="154"/>
    </row>
    <row r="81" spans="1:10" s="67" customFormat="1" ht="14.65" thickBot="1" x14ac:dyDescent="0.5">
      <c r="A81" s="163"/>
      <c r="B81" s="164"/>
      <c r="C81" s="165"/>
      <c r="D81" s="166"/>
      <c r="E81" s="165"/>
      <c r="F81" s="167"/>
      <c r="G81" s="165"/>
      <c r="H81" s="165"/>
      <c r="I81" s="165"/>
      <c r="J81" s="168"/>
    </row>
    <row r="82" spans="1:10" ht="14.65" thickBot="1" x14ac:dyDescent="0.5">
      <c r="A82" s="220" t="s">
        <v>21</v>
      </c>
      <c r="B82" s="221"/>
      <c r="C82" s="221"/>
      <c r="D82" s="221"/>
      <c r="E82" s="221"/>
      <c r="F82" s="221"/>
      <c r="G82" s="221"/>
      <c r="H82" s="221"/>
      <c r="I82" s="221"/>
      <c r="J82" s="222"/>
    </row>
    <row r="83" spans="1:10" x14ac:dyDescent="0.45">
      <c r="A83" s="91"/>
      <c r="B83" s="226" t="s">
        <v>86</v>
      </c>
      <c r="C83" s="226"/>
      <c r="D83" s="226"/>
      <c r="E83" s="226"/>
      <c r="F83" s="226"/>
      <c r="G83" s="226"/>
      <c r="H83" s="226"/>
      <c r="I83" s="226"/>
      <c r="J83" s="92"/>
    </row>
    <row r="84" spans="1:10" x14ac:dyDescent="0.45">
      <c r="A84" s="91"/>
      <c r="B84" s="227"/>
      <c r="C84" s="227"/>
      <c r="D84" s="227"/>
      <c r="E84" s="227"/>
      <c r="F84" s="227"/>
      <c r="G84" s="227"/>
      <c r="H84" s="227"/>
      <c r="I84" s="227"/>
      <c r="J84" s="92"/>
    </row>
    <row r="85" spans="1:10" x14ac:dyDescent="0.45">
      <c r="A85" s="88" t="s">
        <v>82</v>
      </c>
      <c r="B85" s="129"/>
      <c r="C85" s="130"/>
      <c r="D85" s="131"/>
      <c r="E85" s="130"/>
      <c r="F85" s="153"/>
      <c r="G85" s="154"/>
      <c r="H85" s="154"/>
      <c r="I85" s="154"/>
      <c r="J85" s="151"/>
    </row>
    <row r="86" spans="1:10" x14ac:dyDescent="0.45">
      <c r="A86" s="76" t="s">
        <v>89</v>
      </c>
      <c r="B86" s="129"/>
      <c r="C86" s="130"/>
      <c r="D86" s="131"/>
      <c r="E86" s="130"/>
      <c r="F86" s="153"/>
      <c r="G86" s="154"/>
      <c r="H86" s="154"/>
      <c r="I86" s="154"/>
      <c r="J86" s="151"/>
    </row>
    <row r="87" spans="1:10" x14ac:dyDescent="0.45">
      <c r="A87" s="207" t="s">
        <v>55</v>
      </c>
      <c r="B87" s="129"/>
      <c r="C87" s="130"/>
      <c r="D87" s="131"/>
      <c r="E87" s="65" t="s">
        <v>104</v>
      </c>
      <c r="F87" s="153"/>
      <c r="G87" s="154"/>
      <c r="H87" s="154"/>
      <c r="I87" s="154"/>
      <c r="J87" s="151"/>
    </row>
    <row r="88" spans="1:10" x14ac:dyDescent="0.45">
      <c r="A88" s="208" t="s">
        <v>83</v>
      </c>
      <c r="B88" s="129"/>
      <c r="C88" s="130"/>
      <c r="D88" s="131"/>
      <c r="E88" s="213"/>
      <c r="F88" s="153"/>
      <c r="G88" s="154"/>
      <c r="H88" s="154"/>
      <c r="I88" s="154"/>
      <c r="J88" s="151"/>
    </row>
    <row r="89" spans="1:10" x14ac:dyDescent="0.45">
      <c r="A89" s="209" t="s">
        <v>92</v>
      </c>
      <c r="B89" s="129"/>
      <c r="C89" s="130"/>
      <c r="D89" s="131"/>
      <c r="E89" s="215"/>
      <c r="F89" s="153"/>
      <c r="G89" s="169"/>
      <c r="H89" s="169"/>
      <c r="I89" s="169"/>
      <c r="J89" s="170"/>
    </row>
    <row r="90" spans="1:10" x14ac:dyDescent="0.45">
      <c r="A90" s="207" t="str">
        <f>IF($E$87="CMU Single Wythe with a finish on both sides", "What type of finish is applied on one side (Finish #1) of the wythe?","What type of finish is being applied?")</f>
        <v>What type of finish is applied on one side (Finish #1) of the wythe?</v>
      </c>
      <c r="B90" s="129"/>
      <c r="C90" s="130"/>
      <c r="D90" s="131"/>
      <c r="E90" s="65" t="s">
        <v>41</v>
      </c>
      <c r="F90" s="71">
        <f>IF($E$87="CMU Single Wythe with a finish on both sides",IFERROR('Fire Resistance Rating'!$E$239,2),IFERROR('Fire Resistance Rating'!$E$153,2))</f>
        <v>1</v>
      </c>
      <c r="G90" s="233" t="str">
        <f>IF(F90=2,"This combination of material and thickness is not possible.
Please see Tables 4, 5, and 6 of the instruction guide for a list of possible combinations.","")</f>
        <v/>
      </c>
      <c r="H90" s="233"/>
      <c r="I90" s="233"/>
      <c r="J90" s="234"/>
    </row>
    <row r="91" spans="1:10" x14ac:dyDescent="0.45">
      <c r="A91" s="207" t="s">
        <v>91</v>
      </c>
      <c r="B91" s="129"/>
      <c r="C91" s="130"/>
      <c r="D91" s="131"/>
      <c r="E91" s="171" t="str">
        <f>IF(SUM(E20:E21)&gt;=80,"80% or more by volume of expanded shale_slate_clay_slag_pumice","Siliceous_Calcareous_Limestone_Cinders_Air Cooled Blast Furnace Slag")</f>
        <v>Siliceous_Calcareous_Limestone_Cinders_Air Cooled Blast Furnace Slag</v>
      </c>
      <c r="F91" s="71"/>
      <c r="G91" s="233"/>
      <c r="H91" s="233"/>
      <c r="I91" s="233"/>
      <c r="J91" s="234"/>
    </row>
    <row r="92" spans="1:10" x14ac:dyDescent="0.45">
      <c r="A92" s="210"/>
      <c r="B92" s="129"/>
      <c r="C92" s="130"/>
      <c r="D92" s="172" t="str">
        <f>IF(AND($E$90="Portland Cement Sand Plaster",$E$91="80% or more by volume of expanded shale_slate_clay_slag_pumice"),"Is it direct applied?","")</f>
        <v/>
      </c>
      <c r="E92" s="65" t="s">
        <v>107</v>
      </c>
      <c r="F92" s="173"/>
      <c r="G92" s="169"/>
      <c r="H92" s="174"/>
      <c r="I92" s="64"/>
      <c r="J92" s="175"/>
    </row>
    <row r="93" spans="1:10" x14ac:dyDescent="0.45">
      <c r="A93" s="207"/>
      <c r="B93" s="129"/>
      <c r="C93" s="130"/>
      <c r="D93" s="172" t="str">
        <f>IF(AND($E$90="Portland Cement Sand Plaster",$E$91="80% or more by volume of expanded shale_slate_clay_slag_pumice"),"Enter Percent by Volume of Expanded Shale/Slate/Clay/Slag/Pumice","")</f>
        <v/>
      </c>
      <c r="E93" s="65"/>
      <c r="F93" s="173"/>
      <c r="G93" s="169"/>
      <c r="H93" s="174"/>
      <c r="I93" s="174"/>
      <c r="J93" s="175"/>
    </row>
    <row r="94" spans="1:10" x14ac:dyDescent="0.45">
      <c r="A94" s="207"/>
      <c r="B94" s="129"/>
      <c r="C94" s="130"/>
      <c r="D94" s="172"/>
      <c r="E94" s="65"/>
      <c r="F94" s="173"/>
      <c r="G94" s="169"/>
      <c r="H94" s="169"/>
      <c r="I94" s="169"/>
      <c r="J94" s="170"/>
    </row>
    <row r="95" spans="1:10" x14ac:dyDescent="0.45">
      <c r="A95" s="207"/>
      <c r="B95" s="77"/>
      <c r="C95" s="130"/>
      <c r="D95" s="172"/>
      <c r="E95" s="217"/>
      <c r="F95" s="173"/>
      <c r="G95" s="169"/>
      <c r="H95" s="169"/>
      <c r="I95" s="169"/>
      <c r="J95" s="170"/>
    </row>
    <row r="96" spans="1:10" x14ac:dyDescent="0.45">
      <c r="A96" s="207" t="str">
        <f>IF($E$87="CMU Single Wythe with a finish on both sides","What type of finish is applied on the other side (Finish #2) of the wythe?","")</f>
        <v>What type of finish is applied on the other side (Finish #2) of the wythe?</v>
      </c>
      <c r="B96" s="77"/>
      <c r="C96" s="130"/>
      <c r="D96" s="131"/>
      <c r="E96" s="65" t="s">
        <v>20</v>
      </c>
      <c r="F96" s="71">
        <f>IFERROR('Fire Resistance Rating'!$E$223,2)</f>
        <v>1.25</v>
      </c>
      <c r="G96" s="235" t="str">
        <f>IF(AND(E87="CMU Single Wythe with a finish on both sides",F96=2),"This combination of material and thickness is not possible.
Please see Tables 4, 5, and 6 of the instruction guide for a list of possible combinations.","")</f>
        <v/>
      </c>
      <c r="H96" s="235"/>
      <c r="I96" s="235"/>
      <c r="J96" s="236"/>
    </row>
    <row r="97" spans="1:10" x14ac:dyDescent="0.45">
      <c r="A97" s="207" t="str">
        <f>IF($E$87="CMU Single Wythe with a finish on both sides","What is the aggregate type in concrete masonry","")</f>
        <v>What is the aggregate type in concrete masonry</v>
      </c>
      <c r="B97" s="129"/>
      <c r="C97" s="130"/>
      <c r="D97" s="131"/>
      <c r="E97" s="171" t="str">
        <f>IF(SUM($E$20:$E$21)&gt;=80,"80% or more by volume of expanded shale_slate_clay_slag_pumice","Siliceous_Calcareous_Limestone_Cinders_Air Cooled Blast Furnace Slag")</f>
        <v>Siliceous_Calcareous_Limestone_Cinders_Air Cooled Blast Furnace Slag</v>
      </c>
      <c r="F97" s="71"/>
      <c r="G97" s="235"/>
      <c r="H97" s="235"/>
      <c r="I97" s="235"/>
      <c r="J97" s="236"/>
    </row>
    <row r="98" spans="1:10" x14ac:dyDescent="0.45">
      <c r="A98" s="210"/>
      <c r="B98" s="129"/>
      <c r="C98" s="130"/>
      <c r="D98" s="172" t="str">
        <f>IF($E$87="CMU Single Wythe with a finish on both sides ",IF(AND($E$96="Portland Cement Sand Plaster",$E$97="80% or more by volume of expanded shale_slate_clay_slag_pumice"),"Is it direct applied?",""),"")</f>
        <v/>
      </c>
      <c r="E98" s="65"/>
      <c r="F98" s="173"/>
      <c r="G98" s="176"/>
      <c r="H98" s="176"/>
      <c r="I98" s="90"/>
      <c r="J98" s="177"/>
    </row>
    <row r="99" spans="1:10" x14ac:dyDescent="0.45">
      <c r="A99" s="207"/>
      <c r="B99" s="129"/>
      <c r="C99" s="130"/>
      <c r="D99" s="172" t="str">
        <f>IF($E$87="CMU Single Wythe with a finish on both sides ",IF(AND($E$96="Portland Cement Sand Plaster",$E$97="80% or more by volume of expanded shale_slate_clay_slag_pumice"),"Enter Percent by Volume of Expanded Shale/Slate/Clay/Slag/Pumice",""),"")</f>
        <v/>
      </c>
      <c r="E99" s="65"/>
      <c r="F99" s="173"/>
      <c r="G99" s="176"/>
      <c r="H99" s="176"/>
      <c r="I99" s="176"/>
      <c r="J99" s="177"/>
    </row>
    <row r="100" spans="1:10" x14ac:dyDescent="0.45">
      <c r="A100" s="211"/>
      <c r="B100" s="129"/>
      <c r="C100" s="130"/>
      <c r="D100" s="172"/>
      <c r="E100" s="65"/>
      <c r="F100" s="173"/>
      <c r="G100" s="176"/>
      <c r="H100" s="176"/>
      <c r="I100" s="176"/>
      <c r="J100" s="177"/>
    </row>
    <row r="101" spans="1:10" x14ac:dyDescent="0.45">
      <c r="A101" s="207" t="str">
        <f>IF(OR(E92="Yes",$E$90="Gypsum Vermiculite or Perlite Plaster"),"","What is the finish #1 thickness?")</f>
        <v/>
      </c>
      <c r="B101" s="129"/>
      <c r="C101" s="130"/>
      <c r="D101" s="131"/>
      <c r="E101" s="65" t="s">
        <v>30</v>
      </c>
      <c r="F101" s="169">
        <f>IF(E101="3/8 in.",3/8,IF(E101="1/2 in.",1/2,IF(E101="5/8 in.",5/8,IF(E101="3/4 in.",3/4,IF(E101="7/8 in.",7/8,IF(E101="1 in.",1,IF(E101="Two Layers of 3/8 in.",6/8,IF(E101="One Layer of 3/8 in. and One layer of 1/2 in.",3/8+1/2,1))))))))</f>
        <v>0.5</v>
      </c>
      <c r="G101" s="64"/>
      <c r="H101" s="176"/>
      <c r="I101" s="176"/>
      <c r="J101" s="177"/>
    </row>
    <row r="102" spans="1:10" x14ac:dyDescent="0.45">
      <c r="A102" s="207" t="str">
        <f>IF(OR(E92="Yes",$E$90="Gypsum Vermiculite or Perlite Plaster"),"What is the Finish #1 thickness?","")</f>
        <v>What is the Finish #1 thickness?</v>
      </c>
      <c r="B102" s="77"/>
      <c r="C102" s="130"/>
      <c r="D102" s="131"/>
      <c r="E102" s="65" t="s">
        <v>37</v>
      </c>
      <c r="F102" s="178" t="str">
        <f>IF(OR(E92="Yes",E90="Gypsum Vermiculite or Perlite Plaster"),"in.","")</f>
        <v>in.</v>
      </c>
      <c r="G102" s="90"/>
      <c r="H102" s="176"/>
      <c r="I102" s="176"/>
      <c r="J102" s="177"/>
    </row>
    <row r="103" spans="1:10" x14ac:dyDescent="0.45">
      <c r="A103" s="207"/>
      <c r="B103" s="77"/>
      <c r="C103" s="130"/>
      <c r="D103" s="131"/>
      <c r="E103" s="215"/>
      <c r="F103" s="178"/>
      <c r="G103" s="90"/>
      <c r="H103" s="176"/>
      <c r="I103" s="176"/>
      <c r="J103" s="177"/>
    </row>
    <row r="104" spans="1:10" x14ac:dyDescent="0.45">
      <c r="A104" s="212" t="str">
        <f>IF(E87="CMU Single Wythe with finish on one (1) side","",IF(OR(E98="Yes",$E$96="Gypsum Vermiculite or Perlite Plaster"),"","What is the finish #2 thickness?"))</f>
        <v>What is the finish #2 thickness?</v>
      </c>
      <c r="B104" s="77"/>
      <c r="C104" s="130"/>
      <c r="D104" s="77"/>
      <c r="E104" s="65" t="s">
        <v>30</v>
      </c>
      <c r="F104" s="169">
        <f>IF(E104="3/8 in.",3/8,IF(E104="1/2 in.",1/2,IF(E104="5/8 in.",5/8,IF(E104="3/4 in.",3/4,IF(E104="7/8 in.",7/8,IF(E104="1 in.",1,IF(E104="Two Layers of 3/8 in.",6/8,IF(E104="One Layer of 3/8 in. and One layer of 1/2 in.",3/8+1/2,1))))))))</f>
        <v>0.5</v>
      </c>
      <c r="G104" s="64"/>
      <c r="H104" s="64"/>
      <c r="I104" s="64"/>
      <c r="J104" s="47"/>
    </row>
    <row r="105" spans="1:10" x14ac:dyDescent="0.45">
      <c r="A105" s="207" t="str">
        <f>IF(AND(E87="CMU Single Wythe with a finish on both sides",OR(E98="Yes",$E$96="Gypsum Vermiculite or Perlite Plaster")),"What is the Finish #2 thickness?","")</f>
        <v/>
      </c>
      <c r="B105" s="77"/>
      <c r="C105" s="130"/>
      <c r="D105" s="77"/>
      <c r="E105" s="65"/>
      <c r="F105" s="178" t="str">
        <f>IF(A105="What is the finish #2 thickness?","in.","")</f>
        <v/>
      </c>
      <c r="G105" s="64"/>
      <c r="H105" s="64"/>
      <c r="I105" s="64"/>
      <c r="J105" s="47"/>
    </row>
    <row r="106" spans="1:10" x14ac:dyDescent="0.45">
      <c r="A106" s="207"/>
      <c r="B106" s="77"/>
      <c r="C106" s="130"/>
      <c r="D106" s="77"/>
      <c r="E106" s="89"/>
      <c r="F106" s="178"/>
      <c r="G106" s="90"/>
      <c r="H106" s="176"/>
      <c r="I106" s="176"/>
      <c r="J106" s="177"/>
    </row>
    <row r="107" spans="1:10" x14ac:dyDescent="0.45">
      <c r="A107" s="208" t="s">
        <v>84</v>
      </c>
      <c r="B107" s="129"/>
      <c r="C107" s="130"/>
      <c r="D107" s="77"/>
      <c r="E107" s="218"/>
      <c r="F107" s="173"/>
      <c r="G107" s="176"/>
      <c r="H107" s="176"/>
      <c r="I107" s="176"/>
      <c r="J107" s="177"/>
    </row>
    <row r="108" spans="1:10" x14ac:dyDescent="0.45">
      <c r="A108" s="209" t="s">
        <v>93</v>
      </c>
      <c r="B108" s="129"/>
      <c r="C108" s="130"/>
      <c r="D108" s="131"/>
      <c r="E108" s="214"/>
      <c r="F108" s="179" t="str">
        <f>IFERROR('Fire Resistance Rating'!$E$169,1)</f>
        <v/>
      </c>
      <c r="G108" s="230" t="str">
        <f>IF(F108=1,"This combination is not possible.
Please see Tables 4, 5, and 6 of the instruction guide for a list of possible combinations.","")</f>
        <v/>
      </c>
      <c r="H108" s="230"/>
      <c r="I108" s="230"/>
      <c r="J108" s="231"/>
    </row>
    <row r="109" spans="1:10" ht="14.45" customHeight="1" x14ac:dyDescent="0.45">
      <c r="A109" s="203" t="str">
        <f>IF($E$87="CMU Single Wythe with a finish on both sides", "Fire Side - Finish #1","Fire Side Finish")</f>
        <v>Fire Side - Finish #1</v>
      </c>
      <c r="B109" s="77"/>
      <c r="C109" s="64"/>
      <c r="D109" s="131"/>
      <c r="E109" s="65" t="s">
        <v>17</v>
      </c>
      <c r="F109" s="115"/>
      <c r="G109" s="230"/>
      <c r="H109" s="230"/>
      <c r="I109" s="230"/>
      <c r="J109" s="231"/>
    </row>
    <row r="110" spans="1:10" x14ac:dyDescent="0.45">
      <c r="A110" s="203"/>
      <c r="B110" s="180"/>
      <c r="C110" s="130"/>
      <c r="D110" s="172"/>
      <c r="E110" s="65" t="s">
        <v>37</v>
      </c>
      <c r="F110" s="71"/>
      <c r="G110" s="230" t="str">
        <f>IF($E$90="Gypsum Vermiculite or Perlite Plaster","Fire Side Finish Calculations cannot be properly performed with 
current finish selection. 
The calculator will assume no finish is present.","")</f>
        <v/>
      </c>
      <c r="H110" s="230"/>
      <c r="I110" s="230"/>
      <c r="J110" s="231"/>
    </row>
    <row r="111" spans="1:10" x14ac:dyDescent="0.45">
      <c r="A111" s="203"/>
      <c r="B111" s="180"/>
      <c r="C111" s="181"/>
      <c r="D111" s="182" t="str">
        <f>IF($E$109="Direct Applied Portland Cement","Enter Plaster Thickness (in.)","")</f>
        <v/>
      </c>
      <c r="E111" s="73"/>
      <c r="F111" s="71"/>
      <c r="G111" s="230"/>
      <c r="H111" s="230"/>
      <c r="I111" s="230"/>
      <c r="J111" s="231"/>
    </row>
    <row r="112" spans="1:10" x14ac:dyDescent="0.45">
      <c r="A112" s="203"/>
      <c r="B112" s="183"/>
      <c r="C112" s="181"/>
      <c r="D112" s="182"/>
      <c r="E112" s="72"/>
      <c r="F112" s="71"/>
      <c r="G112" s="230"/>
      <c r="H112" s="230"/>
      <c r="I112" s="230"/>
      <c r="J112" s="231"/>
    </row>
    <row r="113" spans="1:10" ht="14.45" customHeight="1" x14ac:dyDescent="0.45">
      <c r="A113" s="203" t="str">
        <f>IF($E$87="CMU Single Wythe with a finish on both sides", "Fire Side - Finish #2","")</f>
        <v>Fire Side - Finish #2</v>
      </c>
      <c r="B113" s="129"/>
      <c r="C113" s="130"/>
      <c r="D113" s="131"/>
      <c r="E113" s="65" t="s">
        <v>58</v>
      </c>
      <c r="F113" s="184">
        <f>IFERROR('Fire Resistance Rating'!$E$237,1)</f>
        <v>0.58333333333333337</v>
      </c>
      <c r="G113" s="230" t="str">
        <f>IF(F113=1,"This combination is not possible.
Please see Tables 4, 5, and 6 of the instruction guide for a list of possible combinations.","")</f>
        <v/>
      </c>
      <c r="H113" s="230"/>
      <c r="I113" s="230"/>
      <c r="J113" s="231"/>
    </row>
    <row r="114" spans="1:10" x14ac:dyDescent="0.45">
      <c r="A114" s="203"/>
      <c r="B114" s="129"/>
      <c r="C114" s="130"/>
      <c r="D114" s="131"/>
      <c r="E114" s="65" t="s">
        <v>30</v>
      </c>
      <c r="F114" s="71"/>
      <c r="G114" s="230"/>
      <c r="H114" s="230"/>
      <c r="I114" s="230"/>
      <c r="J114" s="231"/>
    </row>
    <row r="115" spans="1:10" x14ac:dyDescent="0.45">
      <c r="A115" s="203"/>
      <c r="B115" s="129"/>
      <c r="C115" s="130"/>
      <c r="D115" s="185" t="str">
        <f>IF($E$113="Direct Applied Portland Cement","Enter Plaster Thickness (in.)","")</f>
        <v/>
      </c>
      <c r="E115" s="65"/>
      <c r="F115" s="71"/>
      <c r="G115" s="230" t="str">
        <f>IF(AND($E$87="CMU Single Wythe with a finish on both sides",$E$96="Gypsum Vermiculite or Perlite Plaster"),"Fire Side Finish Calculations cannot be properly performed with 
current finish selection. 
The calculator will assume no finish is present.","")</f>
        <v/>
      </c>
      <c r="H115" s="230"/>
      <c r="I115" s="230"/>
      <c r="J115" s="231"/>
    </row>
    <row r="116" spans="1:10" x14ac:dyDescent="0.45">
      <c r="A116" s="203"/>
      <c r="B116" s="129"/>
      <c r="C116" s="130"/>
      <c r="D116" s="185"/>
      <c r="E116" s="80"/>
      <c r="F116" s="71"/>
      <c r="G116" s="230"/>
      <c r="H116" s="230"/>
      <c r="I116" s="230"/>
      <c r="J116" s="231"/>
    </row>
    <row r="117" spans="1:10" x14ac:dyDescent="0.45">
      <c r="A117" s="203"/>
      <c r="B117" s="129"/>
      <c r="C117" s="130"/>
      <c r="D117" s="185"/>
      <c r="E117" s="80"/>
      <c r="F117" s="71"/>
      <c r="G117" s="230"/>
      <c r="H117" s="230"/>
      <c r="I117" s="230"/>
      <c r="J117" s="231"/>
    </row>
    <row r="118" spans="1:10" x14ac:dyDescent="0.45">
      <c r="A118" s="134" t="s">
        <v>90</v>
      </c>
      <c r="B118" s="129"/>
      <c r="C118" s="130"/>
      <c r="D118" s="131"/>
      <c r="E118" s="130"/>
      <c r="F118" s="154"/>
      <c r="G118" s="186"/>
      <c r="H118" s="186"/>
      <c r="I118" s="186"/>
      <c r="J118" s="187"/>
    </row>
    <row r="119" spans="1:10" x14ac:dyDescent="0.45">
      <c r="A119" s="133" t="s">
        <v>65</v>
      </c>
      <c r="B119" s="129"/>
      <c r="C119" s="130"/>
      <c r="D119" s="131"/>
      <c r="E119" s="132" t="str">
        <f>IF(E90="Gypsum Vermiculite or Perlite Plaster","N/A",IF(E102=E110,"Yes",IF(AND(E110="Direct Applied",F101=E111),"Yes","Change thicknesses to match")))</f>
        <v>Yes</v>
      </c>
      <c r="F119" s="154"/>
      <c r="G119" s="186"/>
      <c r="H119" s="186"/>
      <c r="I119" s="186"/>
      <c r="J119" s="187"/>
    </row>
    <row r="120" spans="1:10" x14ac:dyDescent="0.45">
      <c r="A120" s="188" t="str">
        <f>IF(E87="CMU Single Wythe with a finish on both sides","Does thickness #2 non-fire side and fire side match?","")</f>
        <v>Does thickness #2 non-fire side and fire side match?</v>
      </c>
      <c r="B120" s="129"/>
      <c r="C120" s="130"/>
      <c r="D120" s="131"/>
      <c r="E120" s="189" t="str">
        <f>IF(AND(E87="CMU Single Wythe with a finish on both sides",E96="Gypsum Vermiculite or Perlite Plaster"),"N/A",IF(E104=E114,"Yes",IF(AND(E114="Direct Applied",F104=E115),"Yes","Change thicknesses to match")))</f>
        <v>Yes</v>
      </c>
      <c r="F120" s="153"/>
      <c r="G120" s="154"/>
      <c r="H120" s="154"/>
      <c r="I120" s="154"/>
      <c r="J120" s="151"/>
    </row>
    <row r="121" spans="1:10" x14ac:dyDescent="0.45">
      <c r="A121" s="133" t="s">
        <v>68</v>
      </c>
      <c r="B121" s="129"/>
      <c r="C121" s="130"/>
      <c r="D121" s="131"/>
      <c r="E121" s="132" t="str">
        <f>IF(AND(E90="Portland Cement Sand Plaster",OR(E109="Direct Applied Portland Cement",E109="Portland Cement-Sand Plaster on Metal Lath")),"Yes",IF(AND(E90="Gypsum Sand Plaster",OR(E109="Gypsum-Sand Plaster on 3/8 in. gypsum lath",E109="Gypsum-Sand Plaster on Metal Lath")),"Yes",IF(AND(E90="Gypsum Wallboard",OR(E109="Gypsum Wallboard",E109="Type 'X' Gypsum Wallboard")),"Yes",IF(E90="Gypsum Vermiculite or Perlite Plaster","N/A","Adjust non-fire/fire side finishes to make them matching"))))</f>
        <v>Yes</v>
      </c>
      <c r="F121" s="153"/>
      <c r="G121" s="154"/>
      <c r="H121" s="154"/>
      <c r="I121" s="154"/>
      <c r="J121" s="151"/>
    </row>
    <row r="122" spans="1:10" ht="14.65" thickBot="1" x14ac:dyDescent="0.5">
      <c r="A122" s="140" t="str">
        <f>IF(E87="CMU Single Wythe with a finish on both sides","Does the non-fire finish and fire side finish for finish #2 match?","")</f>
        <v>Does the non-fire finish and fire side finish for finish #2 match?</v>
      </c>
      <c r="B122" s="141"/>
      <c r="C122" s="142"/>
      <c r="D122" s="190"/>
      <c r="E122" s="144" t="str">
        <f>IF(AND(E96="Portland Cement Sand Plaster",OR(E113="Direct Applied Portland Cement",E113="Portland Cement-Sand Plaster on Metal Lath")),"Yes",IF(AND(E96="Gypsum Sand Plaster",OR(E113="Gypsum-Sand Plaster on 3/8 in. gypsum lath",E113="Gypsum-Sand Plaster on Metal Lath")),"Yes",IF(AND(E96="Gypsum Wallboard",OR(E113="Gypsum Wallboard",E113="Type 'X' Gypsum Wallboard")),"Yes",IF(E96="Gypsum Vermiculite or Perlite Plaster","N/A","Adjust non-fire/fire side finishes to make them matching"))))</f>
        <v>Yes</v>
      </c>
      <c r="F122" s="156"/>
      <c r="G122" s="157"/>
      <c r="H122" s="157"/>
      <c r="I122" s="157"/>
      <c r="J122" s="158"/>
    </row>
    <row r="123" spans="1:10" hidden="1" x14ac:dyDescent="0.45">
      <c r="A123" s="191" t="s">
        <v>70</v>
      </c>
      <c r="B123" s="191"/>
      <c r="C123" s="191"/>
      <c r="D123" s="192"/>
      <c r="E123" s="193" t="e">
        <f>IF(AND(#REF!="Yes",E183&gt;0.5*#REF!),"Yes",IF(#REF!="No",OR(E183&gt;0.5*E268,E183&gt;0.5*E233),"No, the selected CMU does meet IBC codes."))</f>
        <v>#REF!</v>
      </c>
      <c r="F123" s="194"/>
      <c r="G123" s="195"/>
      <c r="H123" s="195"/>
      <c r="I123" s="195"/>
      <c r="J123" s="195"/>
    </row>
    <row r="124" spans="1:10" ht="15.75" hidden="1" x14ac:dyDescent="0.5">
      <c r="A124" s="120"/>
      <c r="B124" s="196"/>
      <c r="C124" s="197" t="str">
        <f>'Fire Resistance Rating'!$C$16</f>
        <v>Max/Min Equivalent Thickness Check</v>
      </c>
      <c r="D124" s="198" t="s">
        <v>12</v>
      </c>
      <c r="E124" s="191"/>
      <c r="F124" s="194"/>
      <c r="G124" s="195"/>
      <c r="H124" s="195"/>
      <c r="I124" s="195"/>
      <c r="J124" s="195"/>
    </row>
    <row r="125" spans="1:10" ht="15.75" hidden="1" x14ac:dyDescent="0.5">
      <c r="A125" s="120" t="str">
        <f>$A$18</f>
        <v>Calcareous or Siliceous Gravel</v>
      </c>
      <c r="B125" s="196"/>
      <c r="C125" s="199">
        <f>IF('Fire Resistance Rating'!$E$155&gt;'Fire Resistance Lookup Graph'!B3,'Fire Resistance Lookup Graph'!B3,IF('Fire Resistance Rating'!$E$155&lt;'Fire Resistance Lookup Graph'!P3,'Fire Resistance Lookup Graph'!P3,'Fire Resistance Rating'!$E$155))</f>
        <v>6.2</v>
      </c>
      <c r="D125" s="200">
        <f>0.0765*C125^2+0.1955*C125-0.1732</f>
        <v>3.9795600000000007</v>
      </c>
      <c r="E125" s="191"/>
      <c r="F125" s="194"/>
      <c r="G125" s="195"/>
      <c r="H125" s="195"/>
      <c r="I125" s="195"/>
      <c r="J125" s="195"/>
    </row>
    <row r="126" spans="1:10" ht="15.75" hidden="1" x14ac:dyDescent="0.5">
      <c r="A126" s="120" t="str">
        <f>$A$19</f>
        <v>Limestone, Cinders or Unexpanded Slag</v>
      </c>
      <c r="B126" s="196"/>
      <c r="C126" s="199">
        <f>IF('Fire Resistance Rating'!$E$155&gt;'Fire Resistance Lookup Graph'!B4,'Fire Resistance Lookup Graph'!B4,IF('Fire Resistance Rating'!$E$155&lt;'Fire Resistance Lookup Graph'!P4,'Fire Resistance Lookup Graph'!P4,'Fire Resistance Rating'!$E$155))</f>
        <v>5.9</v>
      </c>
      <c r="D126" s="200">
        <f>0.0839*C126^2+0.219*C126-0.2133</f>
        <v>3.9993590000000006</v>
      </c>
      <c r="E126" s="191"/>
      <c r="F126" s="194"/>
      <c r="G126" s="195"/>
      <c r="H126" s="195"/>
      <c r="I126" s="195"/>
      <c r="J126" s="195"/>
    </row>
    <row r="127" spans="1:10" ht="15.75" hidden="1" x14ac:dyDescent="0.5">
      <c r="A127" s="120" t="str">
        <f>$A$20</f>
        <v>Expanded clay, shale, or slate</v>
      </c>
      <c r="B127" s="196"/>
      <c r="C127" s="199">
        <f>IF('Fire Resistance Rating'!$E$155&gt;'Fire Resistance Lookup Graph'!B5,'Fire Resistance Lookup Graph'!B5,IF('Fire Resistance Rating'!$E$155&lt;'Fire Resistance Lookup Graph'!P5,'Fire Resistance Lookup Graph'!P5,'Fire Resistance Rating'!$E$155))</f>
        <v>5.0999999999999996</v>
      </c>
      <c r="D127" s="200">
        <f>0.1668*C127^2-0.0765*C127+0.0839</f>
        <v>4.0322180000000003</v>
      </c>
      <c r="E127" s="191"/>
      <c r="F127" s="194"/>
      <c r="G127" s="195"/>
      <c r="H127" s="195"/>
      <c r="I127" s="195"/>
      <c r="J127" s="195"/>
    </row>
    <row r="128" spans="1:10" ht="15.75" hidden="1" x14ac:dyDescent="0.5">
      <c r="A128" s="120" t="str">
        <f>$A$21</f>
        <v>Expanded slag or pumice</v>
      </c>
      <c r="B128" s="196"/>
      <c r="C128" s="199">
        <f>IF('Fire Resistance Rating'!$E$155&gt;'Fire Resistance Lookup Graph'!B6,'Fire Resistance Lookup Graph'!B6,IF('Fire Resistance Rating'!$E$155&lt;'Fire Resistance Lookup Graph'!P6,'Fire Resistance Lookup Graph'!P6,'Fire Resistance Rating'!$E$155))</f>
        <v>4.7</v>
      </c>
      <c r="D128" s="200">
        <f>0.1389*C128^2+0.2342*C128-0.1647</f>
        <v>4.0043410000000002</v>
      </c>
      <c r="E128" s="191"/>
      <c r="F128" s="194"/>
      <c r="G128" s="195"/>
      <c r="H128" s="195"/>
      <c r="I128" s="195"/>
      <c r="J128" s="195"/>
    </row>
    <row r="129" spans="1:10" hidden="1" x14ac:dyDescent="0.45">
      <c r="A129" s="191"/>
      <c r="B129" s="191"/>
      <c r="C129" s="191" t="s">
        <v>66</v>
      </c>
      <c r="D129" s="192">
        <f>($E$18*D125+$E$19*D126+E20*D127+$E$21*D128)/100</f>
        <v>3.9986036999999999</v>
      </c>
      <c r="E129" s="191"/>
      <c r="F129" s="194"/>
      <c r="G129" s="195"/>
      <c r="H129" s="195"/>
      <c r="I129" s="195"/>
      <c r="J129" s="195"/>
    </row>
    <row r="130" spans="1:10" x14ac:dyDescent="0.45">
      <c r="A130" s="123"/>
      <c r="B130" s="123"/>
      <c r="C130" s="123"/>
      <c r="D130" s="124"/>
      <c r="E130" s="123"/>
      <c r="F130" s="201"/>
      <c r="G130" s="202"/>
      <c r="H130" s="202"/>
      <c r="I130" s="202"/>
      <c r="J130" s="202"/>
    </row>
    <row r="131" spans="1:10" x14ac:dyDescent="0.45">
      <c r="A131" s="191"/>
      <c r="B131" s="191"/>
      <c r="C131" s="191"/>
      <c r="D131" s="192"/>
      <c r="E131" s="191"/>
      <c r="F131" s="193"/>
      <c r="G131" s="191"/>
      <c r="H131" s="191"/>
      <c r="I131" s="191"/>
      <c r="J131" s="191"/>
    </row>
    <row r="132" spans="1:10" x14ac:dyDescent="0.45">
      <c r="A132" s="191"/>
      <c r="B132" s="191"/>
      <c r="C132" s="191"/>
      <c r="D132" s="192"/>
      <c r="E132" s="191"/>
      <c r="F132" s="193"/>
      <c r="G132" s="191"/>
      <c r="H132" s="191"/>
      <c r="I132" s="191"/>
      <c r="J132" s="191"/>
    </row>
    <row r="133" spans="1:10" x14ac:dyDescent="0.45">
      <c r="A133" s="191"/>
      <c r="B133" s="191"/>
      <c r="C133" s="191"/>
      <c r="D133" s="192"/>
      <c r="E133" s="191"/>
      <c r="F133" s="193"/>
      <c r="G133" s="191"/>
      <c r="H133" s="191"/>
      <c r="I133" s="191"/>
      <c r="J133" s="191"/>
    </row>
    <row r="134" spans="1:10" x14ac:dyDescent="0.45">
      <c r="A134" s="191"/>
      <c r="B134" s="191"/>
      <c r="C134" s="191"/>
      <c r="D134" s="192"/>
      <c r="E134" s="191"/>
      <c r="F134" s="193"/>
      <c r="G134" s="191"/>
      <c r="H134" s="191"/>
      <c r="I134" s="191"/>
      <c r="J134" s="191"/>
    </row>
    <row r="135" spans="1:10" x14ac:dyDescent="0.45">
      <c r="A135" s="191"/>
      <c r="B135" s="191"/>
      <c r="C135" s="191"/>
      <c r="D135" s="192"/>
      <c r="E135" s="191"/>
      <c r="F135" s="193"/>
      <c r="G135" s="191"/>
      <c r="H135" s="191"/>
      <c r="I135" s="191"/>
      <c r="J135" s="191"/>
    </row>
    <row r="136" spans="1:10" x14ac:dyDescent="0.45">
      <c r="A136" s="191"/>
      <c r="B136" s="191"/>
      <c r="C136" s="191"/>
      <c r="D136" s="192"/>
      <c r="E136" s="191"/>
      <c r="F136" s="193"/>
      <c r="G136" s="191"/>
      <c r="H136" s="191"/>
      <c r="I136" s="191"/>
      <c r="J136" s="191"/>
    </row>
    <row r="137" spans="1:10" x14ac:dyDescent="0.45">
      <c r="A137" s="191"/>
      <c r="B137" s="191"/>
      <c r="C137" s="191"/>
      <c r="D137" s="192"/>
      <c r="E137" s="191"/>
      <c r="F137" s="193"/>
      <c r="G137" s="191"/>
      <c r="H137" s="191"/>
      <c r="I137" s="191"/>
      <c r="J137" s="191"/>
    </row>
    <row r="138" spans="1:10" x14ac:dyDescent="0.45">
      <c r="A138" s="191"/>
      <c r="B138" s="191"/>
      <c r="C138" s="191"/>
      <c r="D138" s="192"/>
      <c r="E138" s="191"/>
      <c r="F138" s="193"/>
      <c r="G138" s="191"/>
      <c r="H138" s="191"/>
      <c r="I138" s="191"/>
      <c r="J138" s="191"/>
    </row>
    <row r="139" spans="1:10" x14ac:dyDescent="0.45">
      <c r="A139" s="191"/>
      <c r="B139" s="191"/>
      <c r="C139" s="191"/>
      <c r="D139" s="192"/>
      <c r="E139" s="191"/>
      <c r="F139" s="193"/>
      <c r="G139" s="191"/>
      <c r="H139" s="191"/>
      <c r="I139" s="191"/>
      <c r="J139" s="191"/>
    </row>
    <row r="140" spans="1:10" x14ac:dyDescent="0.45">
      <c r="A140" s="191"/>
      <c r="B140" s="191"/>
      <c r="C140" s="191"/>
      <c r="D140" s="192"/>
      <c r="E140" s="191"/>
      <c r="F140" s="193"/>
      <c r="G140" s="191"/>
      <c r="H140" s="191"/>
      <c r="I140" s="191"/>
      <c r="J140" s="191"/>
    </row>
    <row r="141" spans="1:10" x14ac:dyDescent="0.45">
      <c r="A141" s="191"/>
      <c r="B141" s="191"/>
      <c r="C141" s="191"/>
      <c r="D141" s="192"/>
      <c r="E141" s="191"/>
      <c r="F141" s="193"/>
      <c r="G141" s="191"/>
      <c r="H141" s="191"/>
      <c r="I141" s="191"/>
      <c r="J141" s="191"/>
    </row>
    <row r="142" spans="1:10" x14ac:dyDescent="0.45">
      <c r="A142" s="191"/>
      <c r="B142" s="191"/>
      <c r="C142" s="191"/>
      <c r="D142" s="192"/>
      <c r="E142" s="191"/>
      <c r="F142" s="193"/>
      <c r="G142" s="191"/>
      <c r="H142" s="191"/>
      <c r="I142" s="191"/>
      <c r="J142" s="191"/>
    </row>
    <row r="143" spans="1:10" x14ac:dyDescent="0.45">
      <c r="A143" s="191"/>
      <c r="B143" s="191"/>
      <c r="C143" s="191"/>
      <c r="D143" s="192"/>
      <c r="E143" s="191"/>
      <c r="F143" s="193"/>
      <c r="G143" s="191"/>
      <c r="H143" s="191"/>
      <c r="I143" s="191"/>
      <c r="J143" s="191"/>
    </row>
    <row r="144" spans="1:10" x14ac:dyDescent="0.45">
      <c r="A144" s="191"/>
      <c r="B144" s="191"/>
      <c r="C144" s="191"/>
      <c r="D144" s="192"/>
      <c r="E144" s="191"/>
      <c r="F144" s="193"/>
      <c r="G144" s="191"/>
      <c r="H144" s="191"/>
      <c r="I144" s="191"/>
      <c r="J144" s="191"/>
    </row>
    <row r="145" spans="1:10" x14ac:dyDescent="0.45">
      <c r="A145" s="191"/>
      <c r="B145" s="191"/>
      <c r="C145" s="191"/>
      <c r="D145" s="192"/>
      <c r="E145" s="191"/>
      <c r="F145" s="193"/>
      <c r="G145" s="191"/>
      <c r="H145" s="191"/>
      <c r="I145" s="191"/>
      <c r="J145" s="191"/>
    </row>
    <row r="146" spans="1:10" x14ac:dyDescent="0.45">
      <c r="A146" s="191"/>
      <c r="B146" s="191"/>
      <c r="C146" s="191"/>
      <c r="D146" s="192"/>
      <c r="E146" s="191"/>
      <c r="F146" s="193"/>
      <c r="G146" s="191"/>
      <c r="H146" s="191"/>
      <c r="I146" s="191"/>
      <c r="J146" s="191"/>
    </row>
    <row r="147" spans="1:10" x14ac:dyDescent="0.45">
      <c r="A147" s="191"/>
      <c r="B147" s="191"/>
      <c r="C147" s="191"/>
      <c r="D147" s="192"/>
      <c r="E147" s="191"/>
      <c r="F147" s="193"/>
      <c r="G147" s="191"/>
      <c r="H147" s="191"/>
      <c r="I147" s="191"/>
      <c r="J147" s="191"/>
    </row>
    <row r="148" spans="1:10" x14ac:dyDescent="0.45">
      <c r="A148" s="191"/>
      <c r="B148" s="191"/>
      <c r="C148" s="191"/>
      <c r="D148" s="192"/>
      <c r="E148" s="191"/>
      <c r="F148" s="193"/>
      <c r="G148" s="191"/>
      <c r="H148" s="191"/>
      <c r="I148" s="191"/>
      <c r="J148" s="191"/>
    </row>
    <row r="149" spans="1:10" x14ac:dyDescent="0.45">
      <c r="A149" s="191"/>
      <c r="B149" s="191"/>
      <c r="C149" s="191"/>
      <c r="D149" s="192"/>
      <c r="E149" s="191"/>
      <c r="F149" s="193"/>
      <c r="G149" s="191"/>
      <c r="H149" s="191"/>
      <c r="I149" s="191"/>
      <c r="J149" s="191"/>
    </row>
    <row r="150" spans="1:10" x14ac:dyDescent="0.45">
      <c r="A150" s="191"/>
      <c r="B150" s="191"/>
      <c r="C150" s="191"/>
      <c r="D150" s="192"/>
      <c r="E150" s="191"/>
      <c r="F150" s="193"/>
      <c r="G150" s="191"/>
      <c r="H150" s="191"/>
      <c r="I150" s="191"/>
      <c r="J150" s="191"/>
    </row>
    <row r="151" spans="1:10" x14ac:dyDescent="0.45">
      <c r="B151" s="191"/>
      <c r="C151" s="191"/>
      <c r="D151" s="192"/>
      <c r="E151" s="191"/>
      <c r="F151" s="193"/>
      <c r="G151" s="191"/>
      <c r="H151" s="191"/>
      <c r="I151" s="191"/>
      <c r="J151" s="191"/>
    </row>
    <row r="161" ht="14.45" customHeight="1" x14ac:dyDescent="0.45"/>
    <row r="179" ht="14.45" hidden="1" customHeight="1" x14ac:dyDescent="0.45"/>
    <row r="180" ht="14.45" hidden="1" customHeight="1" x14ac:dyDescent="0.45"/>
    <row r="181" ht="14.45" hidden="1" customHeight="1" x14ac:dyDescent="0.45"/>
    <row r="182" ht="14.45" hidden="1" customHeight="1" x14ac:dyDescent="0.45"/>
    <row r="183" ht="16.25" hidden="1" customHeight="1" x14ac:dyDescent="0.45"/>
    <row r="184" ht="16.25" customHeight="1" x14ac:dyDescent="0.45"/>
    <row r="199" ht="15.6" hidden="1" customHeight="1" x14ac:dyDescent="0.45"/>
    <row r="200" ht="15.6" hidden="1" customHeight="1" x14ac:dyDescent="0.45"/>
    <row r="201" ht="15.6" hidden="1" customHeight="1" x14ac:dyDescent="0.45"/>
    <row r="202" ht="15.6" hidden="1" customHeight="1" x14ac:dyDescent="0.45"/>
    <row r="203" ht="15.6" hidden="1" customHeight="1" x14ac:dyDescent="0.45"/>
    <row r="221" hidden="1" x14ac:dyDescent="0.45"/>
    <row r="222" hidden="1" x14ac:dyDescent="0.45"/>
    <row r="223" hidden="1" x14ac:dyDescent="0.45"/>
    <row r="224" hidden="1" x14ac:dyDescent="0.45"/>
    <row r="225" hidden="1" x14ac:dyDescent="0.45"/>
    <row r="244" hidden="1" x14ac:dyDescent="0.45"/>
    <row r="245" hidden="1" x14ac:dyDescent="0.45"/>
    <row r="246" hidden="1" x14ac:dyDescent="0.45"/>
    <row r="247" hidden="1" x14ac:dyDescent="0.45"/>
    <row r="248" hidden="1" x14ac:dyDescent="0.45"/>
    <row r="260" hidden="1" x14ac:dyDescent="0.45"/>
    <row r="261" hidden="1" x14ac:dyDescent="0.45"/>
    <row r="262" hidden="1" x14ac:dyDescent="0.45"/>
    <row r="263" hidden="1" x14ac:dyDescent="0.45"/>
    <row r="264" hidden="1" x14ac:dyDescent="0.45"/>
  </sheetData>
  <sheetProtection algorithmName="SHA-512" hashValue="C1JF8fI90DICFe0GoPB5x8KfotEFp7mISCwmGqnUZizmFGl5nl1oMTrDLmKHw74eHGcN4T6HARGy1+chJYSMrA==" saltValue="u+1mfgXg8wmbhSFx+zag+Q==" spinCount="100000" sheet="1" objects="1" scenarios="1" selectLockedCells="1"/>
  <mergeCells count="18">
    <mergeCell ref="G115:J117"/>
    <mergeCell ref="G33:I33"/>
    <mergeCell ref="G34:I34"/>
    <mergeCell ref="G18:I20"/>
    <mergeCell ref="B83:I84"/>
    <mergeCell ref="G108:J109"/>
    <mergeCell ref="G113:J114"/>
    <mergeCell ref="G90:J91"/>
    <mergeCell ref="G96:J97"/>
    <mergeCell ref="G110:J112"/>
    <mergeCell ref="A10:J10"/>
    <mergeCell ref="A24:J24"/>
    <mergeCell ref="A82:J82"/>
    <mergeCell ref="B11:I12"/>
    <mergeCell ref="B25:I26"/>
    <mergeCell ref="G42:I44"/>
    <mergeCell ref="G49:I51"/>
    <mergeCell ref="G13:J16"/>
  </mergeCells>
  <conditionalFormatting sqref="G13">
    <cfRule type="containsText" dxfId="71" priority="267" operator="containsText" text="Thickness">
      <formula>NOT(ISERROR(SEARCH("Thickness",G13)))</formula>
    </cfRule>
  </conditionalFormatting>
  <conditionalFormatting sqref="E22">
    <cfRule type="cellIs" dxfId="70" priority="262" operator="equal">
      <formula>1</formula>
    </cfRule>
    <cfRule type="cellIs" dxfId="69" priority="264" operator="lessThan">
      <formula>1</formula>
    </cfRule>
    <cfRule type="cellIs" dxfId="68" priority="265" operator="greaterThan">
      <formula>1</formula>
    </cfRule>
  </conditionalFormatting>
  <conditionalFormatting sqref="G18">
    <cfRule type="containsText" dxfId="67" priority="263" operator="containsText" text="must">
      <formula>NOT(ISERROR(SEARCH("must",G18)))</formula>
    </cfRule>
  </conditionalFormatting>
  <conditionalFormatting sqref="G108">
    <cfRule type="containsText" dxfId="66" priority="250" operator="containsText" text="guide">
      <formula>NOT(ISERROR(SEARCH("guide",G108)))</formula>
    </cfRule>
  </conditionalFormatting>
  <conditionalFormatting sqref="G113">
    <cfRule type="containsText" dxfId="65" priority="193" operator="containsText" text="guide">
      <formula>NOT(ISERROR(SEARCH("guide",G113)))</formula>
    </cfRule>
  </conditionalFormatting>
  <conditionalFormatting sqref="D115:D117 E116:E117">
    <cfRule type="expression" dxfId="64" priority="66">
      <formula>$E$96="Gypsum Vermiculite or Perlite Plaster"</formula>
    </cfRule>
    <cfRule type="expression" dxfId="63" priority="183">
      <formula>A96="What type of finish is applied on the other side of the wythe?"</formula>
    </cfRule>
  </conditionalFormatting>
  <conditionalFormatting sqref="G110">
    <cfRule type="containsText" dxfId="62" priority="160" operator="containsText" text="Fire">
      <formula>NOT(ISERROR(SEARCH("Fire",G110)))</formula>
    </cfRule>
  </conditionalFormatting>
  <conditionalFormatting sqref="G115">
    <cfRule type="containsText" dxfId="61" priority="159" operator="containsText" text="Fire">
      <formula>NOT(ISERROR(SEARCH("Fire",G115)))</formula>
    </cfRule>
  </conditionalFormatting>
  <conditionalFormatting sqref="G90">
    <cfRule type="containsText" dxfId="60" priority="157" operator="containsText" text="guide">
      <formula>NOT(ISERROR(SEARCH("guide",G90)))</formula>
    </cfRule>
  </conditionalFormatting>
  <conditionalFormatting sqref="G96">
    <cfRule type="containsText" dxfId="59" priority="156" operator="containsText" text="guide">
      <formula>NOT(ISERROR(SEARCH("guide",G96)))</formula>
    </cfRule>
  </conditionalFormatting>
  <conditionalFormatting sqref="A120">
    <cfRule type="expression" dxfId="58" priority="124">
      <formula>E87="CMU Single Wythe with finish on one (1) side and Clay Wythe on the other side"</formula>
    </cfRule>
    <cfRule type="expression" dxfId="57" priority="125">
      <formula>E87="CMU Single Wythe with finish on one (1) side"</formula>
    </cfRule>
  </conditionalFormatting>
  <conditionalFormatting sqref="E109:E110 D111:D112 E112">
    <cfRule type="expression" dxfId="56" priority="116">
      <formula>$E$90="Gypsum Vermiculite or Perlite Plaster"</formula>
    </cfRule>
  </conditionalFormatting>
  <conditionalFormatting sqref="G33:G35">
    <cfRule type="containsText" dxfId="55" priority="107" operator="containsText" text="fire">
      <formula>NOT(ISERROR(SEARCH("fire",G33)))</formula>
    </cfRule>
  </conditionalFormatting>
  <conditionalFormatting sqref="E34">
    <cfRule type="expression" dxfId="54" priority="97">
      <formula>$A$34=""</formula>
    </cfRule>
  </conditionalFormatting>
  <conditionalFormatting sqref="E37">
    <cfRule type="expression" dxfId="53" priority="96">
      <formula>$A$37=""</formula>
    </cfRule>
  </conditionalFormatting>
  <conditionalFormatting sqref="E38">
    <cfRule type="expression" dxfId="52" priority="95">
      <formula>$A$38=""</formula>
    </cfRule>
  </conditionalFormatting>
  <conditionalFormatting sqref="E92">
    <cfRule type="expression" dxfId="51" priority="94">
      <formula>$D$92=""</formula>
    </cfRule>
  </conditionalFormatting>
  <conditionalFormatting sqref="E93">
    <cfRule type="expression" dxfId="50" priority="93">
      <formula>$D$93=""</formula>
    </cfRule>
  </conditionalFormatting>
  <conditionalFormatting sqref="E94">
    <cfRule type="expression" dxfId="49" priority="92">
      <formula>$D$94=""</formula>
    </cfRule>
  </conditionalFormatting>
  <conditionalFormatting sqref="E98">
    <cfRule type="expression" dxfId="48" priority="91">
      <formula>$D$98=""</formula>
    </cfRule>
  </conditionalFormatting>
  <conditionalFormatting sqref="E99">
    <cfRule type="expression" dxfId="47" priority="90">
      <formula>$D$99=""</formula>
    </cfRule>
  </conditionalFormatting>
  <conditionalFormatting sqref="E100">
    <cfRule type="expression" dxfId="46" priority="89">
      <formula>$D$100=""</formula>
    </cfRule>
  </conditionalFormatting>
  <conditionalFormatting sqref="E104:E106 E101:E102">
    <cfRule type="expression" dxfId="45" priority="88">
      <formula>$A101=""</formula>
    </cfRule>
  </conditionalFormatting>
  <conditionalFormatting sqref="E115">
    <cfRule type="expression" dxfId="44" priority="67">
      <formula>$E$96="Gypsum Vermiculite or Perlite Plaster"</formula>
    </cfRule>
    <cfRule type="expression" dxfId="43" priority="83">
      <formula>$D$115=""</formula>
    </cfRule>
  </conditionalFormatting>
  <conditionalFormatting sqref="E113:E114">
    <cfRule type="expression" dxfId="42" priority="74">
      <formula>$A$96=""</formula>
    </cfRule>
    <cfRule type="expression" dxfId="41" priority="79">
      <formula>$E$96="Gypsum Vermiculite or Perlite Plaster"</formula>
    </cfRule>
  </conditionalFormatting>
  <conditionalFormatting sqref="E96:E97">
    <cfRule type="expression" dxfId="40" priority="76">
      <formula>$A$96=""</formula>
    </cfRule>
  </conditionalFormatting>
  <conditionalFormatting sqref="E33">
    <cfRule type="expression" dxfId="39" priority="54">
      <formula>$A$33=""</formula>
    </cfRule>
  </conditionalFormatting>
  <conditionalFormatting sqref="E123">
    <cfRule type="cellIs" dxfId="38" priority="50" operator="equal">
      <formula>"Yes"</formula>
    </cfRule>
  </conditionalFormatting>
  <conditionalFormatting sqref="E123">
    <cfRule type="containsText" dxfId="37" priority="49" operator="containsText" text="CMU">
      <formula>NOT(ISERROR(SEARCH("CMU",E123)))</formula>
    </cfRule>
  </conditionalFormatting>
  <conditionalFormatting sqref="E120">
    <cfRule type="expression" dxfId="36" priority="30">
      <formula>$A$120=""</formula>
    </cfRule>
    <cfRule type="containsText" dxfId="35" priority="31" operator="containsText" text="N/A">
      <formula>NOT(ISERROR(SEARCH("N/A",E120)))</formula>
    </cfRule>
    <cfRule type="cellIs" dxfId="34" priority="32" operator="equal">
      <formula>"Change thicknesses to match"</formula>
    </cfRule>
    <cfRule type="cellIs" dxfId="33" priority="33" operator="equal">
      <formula>"Yes"</formula>
    </cfRule>
  </conditionalFormatting>
  <conditionalFormatting sqref="E121">
    <cfRule type="containsText" dxfId="32" priority="27" operator="containsText" text="finishes">
      <formula>NOT(ISERROR(SEARCH("finishes",E121)))</formula>
    </cfRule>
    <cfRule type="containsText" dxfId="31" priority="28" operator="containsText" text="N/A">
      <formula>NOT(ISERROR(SEARCH("N/A",E121)))</formula>
    </cfRule>
    <cfRule type="cellIs" dxfId="30" priority="29" operator="equal">
      <formula>"Yes"</formula>
    </cfRule>
  </conditionalFormatting>
  <conditionalFormatting sqref="E122">
    <cfRule type="expression" dxfId="29" priority="23">
      <formula>$A$122=""</formula>
    </cfRule>
    <cfRule type="containsText" dxfId="28" priority="24" operator="containsText" text="finishes">
      <formula>NOT(ISERROR(SEARCH("finishes",E122)))</formula>
    </cfRule>
    <cfRule type="containsText" dxfId="27" priority="25" operator="containsText" text="N/A">
      <formula>NOT(ISERROR(SEARCH("N/A",E122)))</formula>
    </cfRule>
    <cfRule type="cellIs" dxfId="26" priority="26" operator="equal">
      <formula>"Yes"</formula>
    </cfRule>
  </conditionalFormatting>
  <conditionalFormatting sqref="E119">
    <cfRule type="containsText" dxfId="25" priority="34" operator="containsText" text="N/A">
      <formula>NOT(ISERROR(SEARCH("N/A",E119)))</formula>
    </cfRule>
    <cfRule type="cellIs" dxfId="24" priority="35" operator="equal">
      <formula>"Change thicknesses to match"</formula>
    </cfRule>
    <cfRule type="cellIs" dxfId="23" priority="36" operator="equal">
      <formula>"Yes"</formula>
    </cfRule>
  </conditionalFormatting>
  <conditionalFormatting sqref="E111">
    <cfRule type="expression" dxfId="22" priority="65">
      <formula>$E$90="Gypsum Vermiculite or Perlite Plaster"</formula>
    </cfRule>
    <cfRule type="expression" dxfId="21" priority="68">
      <formula>$D$111=""</formula>
    </cfRule>
  </conditionalFormatting>
  <conditionalFormatting sqref="E29">
    <cfRule type="expression" dxfId="20" priority="22">
      <formula>$E$28=3</formula>
    </cfRule>
  </conditionalFormatting>
  <conditionalFormatting sqref="E30">
    <cfRule type="expression" dxfId="19" priority="21">
      <formula>$E$28=2</formula>
    </cfRule>
  </conditionalFormatting>
  <conditionalFormatting sqref="E46">
    <cfRule type="cellIs" dxfId="18" priority="18" operator="equal">
      <formula>1</formula>
    </cfRule>
    <cfRule type="cellIs" dxfId="17" priority="19" operator="lessThan">
      <formula>1</formula>
    </cfRule>
    <cfRule type="cellIs" dxfId="16" priority="20" operator="greaterThan">
      <formula>1</formula>
    </cfRule>
  </conditionalFormatting>
  <conditionalFormatting sqref="G42">
    <cfRule type="containsText" dxfId="15" priority="17" operator="containsText" text="must">
      <formula>NOT(ISERROR(SEARCH("must",G42)))</formula>
    </cfRule>
  </conditionalFormatting>
  <conditionalFormatting sqref="E41:E46">
    <cfRule type="expression" dxfId="14" priority="15">
      <formula>$A$42=""</formula>
    </cfRule>
  </conditionalFormatting>
  <conditionalFormatting sqref="E53">
    <cfRule type="cellIs" dxfId="13" priority="9" operator="equal">
      <formula>1</formula>
    </cfRule>
    <cfRule type="cellIs" dxfId="12" priority="10" operator="lessThan">
      <formula>1</formula>
    </cfRule>
    <cfRule type="cellIs" dxfId="11" priority="11" operator="greaterThan">
      <formula>1</formula>
    </cfRule>
  </conditionalFormatting>
  <conditionalFormatting sqref="G49">
    <cfRule type="containsText" dxfId="10" priority="6" operator="containsText" text="must">
      <formula>NOT(ISERROR(SEARCH("must",G49)))</formula>
    </cfRule>
  </conditionalFormatting>
  <conditionalFormatting sqref="E48:E53">
    <cfRule type="expression" dxfId="9" priority="5">
      <formula>$A$48=""</formula>
    </cfRule>
  </conditionalFormatting>
  <dataValidations count="12">
    <dataValidation type="list" allowBlank="1" showInputMessage="1" showErrorMessage="1" sqref="E37:E38" xr:uid="{00000000-0002-0000-0100-000000000000}">
      <formula1>"&gt;=75% Solid, Hollow, Grouted"</formula1>
    </dataValidation>
    <dataValidation type="list" allowBlank="1" showInputMessage="1" showErrorMessage="1" sqref="E31" xr:uid="{00000000-0002-0000-0100-000001000000}">
      <formula1>"Fire Rating, Equivalent Thickness"</formula1>
    </dataValidation>
    <dataValidation type="list" allowBlank="1" showInputMessage="1" showErrorMessage="1" sqref="E28" xr:uid="{00000000-0002-0000-0100-000002000000}">
      <formula1>"2,3"</formula1>
    </dataValidation>
    <dataValidation type="list" allowBlank="1" showInputMessage="1" showErrorMessage="1" sqref="E98 E92" xr:uid="{00000000-0002-0000-0100-000003000000}">
      <formula1>"Yes, No"</formula1>
    </dataValidation>
    <dataValidation type="list" allowBlank="1" showInputMessage="1" showErrorMessage="1" sqref="E90 E96" xr:uid="{00000000-0002-0000-0100-000004000000}">
      <formula1>"Portland Cement Sand Plaster, Gypsum Sand Plaster, Gypsum Vermiculite or Perlite Plaster, Gypsum Wallboard"</formula1>
    </dataValidation>
    <dataValidation type="list" allowBlank="1" showInputMessage="1" showErrorMessage="1" sqref="E113 E109" xr:uid="{00000000-0002-0000-0100-000005000000}">
      <formula1>"Gypsum Wallboard, Type 'X' Gypsum Wallboard,Direct Applied Portland Cement, Portland Cement-Sand Plaster on Metal Lath, Gypsum-Sand Plaster on 3/8 in. gypsum lath,Gypsum-Sand Plaster on Metal Lath"</formula1>
    </dataValidation>
    <dataValidation type="list" allowBlank="1" showInputMessage="1" showErrorMessage="1" sqref="E110 E114" xr:uid="{00000000-0002-0000-0100-000006000000}">
      <formula1>"3/8 in., 1/2 in., 5/8 in.,  3/4 in., 7/8 in.,  1 in., Two Layers of 3/8 in., One Layer of 3/8 in. and One layer of 1/2 in., Two layers of 1/2 in., Direct Applied"</formula1>
    </dataValidation>
    <dataValidation type="whole" allowBlank="1" showInputMessage="1" showErrorMessage="1" errorTitle="Incorrect Percent" error="Percent must be between 80% and 100%._x000a_" sqref="E99 E93" xr:uid="{00000000-0002-0000-0100-000007000000}">
      <formula1>80</formula1>
      <formula2>100</formula2>
    </dataValidation>
    <dataValidation type="list" allowBlank="1" showInputMessage="1" showErrorMessage="1" sqref="E87" xr:uid="{00000000-0002-0000-0100-000008000000}">
      <formula1>"CMU Single Wythe with finish on one (1) side, CMU Single Wythe with a finish on both sides"</formula1>
    </dataValidation>
    <dataValidation type="list" allowBlank="1" showInputMessage="1" showErrorMessage="1" sqref="E101:E102 E104" xr:uid="{00000000-0002-0000-0100-000009000000}">
      <formula1>"3/8 in., 1/2 in., 5/8 in.,  3/4 in., 7/8 in.,  1 in., Two Layers of 3/8 in., One Layer of 3/8 in. and One layer of 1/2 in., Two layers of 1/2 in."</formula1>
    </dataValidation>
    <dataValidation type="list" allowBlank="1" showInputMessage="1" showErrorMessage="1" sqref="E29" xr:uid="{00000000-0002-0000-0100-00000A000000}">
      <formula1>"Clay / CMU,CMU / CMU"</formula1>
    </dataValidation>
    <dataValidation type="list" allowBlank="1" showInputMessage="1" showErrorMessage="1" sqref="E30" xr:uid="{00000000-0002-0000-0100-00000B000000}">
      <formula1>"Clay / CMU / Clay,CMU / CMU / CMU,Clay / CMU / CMU"</formula1>
    </dataValidation>
  </dataValidations>
  <pageMargins left="0.7" right="0.7" top="0.75" bottom="0.75" header="0.3" footer="0.3"/>
  <pageSetup scale="43" fitToHeight="0" orientation="landscape" r:id="rId1"/>
  <headerFooter>
    <oddFooter xml:space="preserve">&amp;LNCMA and the companies disseminating this technical information disclaim any and all responsibility 
and liability for the accuracy and the application of the information contained in this publication.   &amp;RVersion 1.0
&amp;D
&amp;P of &amp;N </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K254"/>
  <sheetViews>
    <sheetView tabSelected="1" view="pageLayout" zoomScale="80" zoomScaleNormal="40" zoomScalePageLayoutView="80" workbookViewId="0">
      <selection activeCell="E232" sqref="E232"/>
    </sheetView>
  </sheetViews>
  <sheetFormatPr defaultRowHeight="14.25" x14ac:dyDescent="0.45"/>
  <cols>
    <col min="1" max="1" width="8.1328125" customWidth="1"/>
    <col min="2" max="2" width="23.6640625" customWidth="1"/>
    <col min="3" max="3" width="42.796875" bestFit="1" customWidth="1"/>
    <col min="4" max="4" width="21.86328125" bestFit="1" customWidth="1"/>
    <col min="5" max="5" width="42.796875" bestFit="1" customWidth="1"/>
    <col min="6" max="6" width="21.86328125" bestFit="1" customWidth="1"/>
    <col min="7" max="7" width="15.1328125" bestFit="1" customWidth="1"/>
    <col min="8" max="8" width="23.46484375" bestFit="1" customWidth="1"/>
    <col min="10" max="10" width="5.46484375" bestFit="1" customWidth="1"/>
  </cols>
  <sheetData>
    <row r="1" spans="1:11" x14ac:dyDescent="0.45">
      <c r="A1" s="15"/>
      <c r="B1" s="15"/>
      <c r="C1" s="15"/>
      <c r="D1" s="15"/>
      <c r="E1" s="15"/>
      <c r="F1" s="15"/>
      <c r="G1" s="85" t="s">
        <v>78</v>
      </c>
      <c r="H1" s="237">
        <f>'Fire Resistance '!E1</f>
        <v>0</v>
      </c>
      <c r="I1" s="237"/>
      <c r="J1" s="237"/>
      <c r="K1" s="237"/>
    </row>
    <row r="2" spans="1:11" x14ac:dyDescent="0.45">
      <c r="A2" s="15"/>
      <c r="B2" s="15"/>
      <c r="C2" s="15"/>
      <c r="D2" s="15"/>
      <c r="E2" s="15"/>
      <c r="F2" s="15"/>
      <c r="G2" s="85" t="s">
        <v>5</v>
      </c>
      <c r="H2" s="238">
        <f>'Fire Resistance '!E2</f>
        <v>0</v>
      </c>
      <c r="I2" s="238"/>
      <c r="J2" s="238"/>
      <c r="K2" s="238"/>
    </row>
    <row r="3" spans="1:11" x14ac:dyDescent="0.45">
      <c r="A3" s="15"/>
      <c r="B3" s="15"/>
      <c r="C3" s="15"/>
      <c r="D3" s="15"/>
      <c r="E3" s="15"/>
      <c r="F3" s="15"/>
      <c r="G3" s="85" t="s">
        <v>6</v>
      </c>
      <c r="H3" s="238">
        <f>'Fire Resistance '!E3</f>
        <v>0</v>
      </c>
      <c r="I3" s="238"/>
      <c r="J3" s="238"/>
      <c r="K3" s="238"/>
    </row>
    <row r="4" spans="1:11" x14ac:dyDescent="0.45">
      <c r="A4" s="15"/>
      <c r="B4" s="15"/>
      <c r="C4" s="15"/>
      <c r="D4" s="15"/>
      <c r="E4" s="15"/>
      <c r="F4" s="15"/>
      <c r="G4" s="85" t="s">
        <v>7</v>
      </c>
      <c r="H4" s="238">
        <f>'Fire Resistance '!E4</f>
        <v>0</v>
      </c>
      <c r="I4" s="238"/>
      <c r="J4" s="238"/>
      <c r="K4" s="238"/>
    </row>
    <row r="5" spans="1:11" x14ac:dyDescent="0.45">
      <c r="A5" s="15"/>
      <c r="B5" s="15"/>
      <c r="C5" s="15"/>
      <c r="D5" s="15"/>
      <c r="E5" s="15"/>
      <c r="F5" s="15"/>
      <c r="G5" s="15"/>
      <c r="H5" s="2"/>
      <c r="I5" s="2"/>
      <c r="J5" s="15"/>
      <c r="K5" s="15"/>
    </row>
    <row r="6" spans="1:11" x14ac:dyDescent="0.45">
      <c r="A6" s="18"/>
      <c r="B6" s="18"/>
      <c r="C6" s="18"/>
      <c r="D6" s="44"/>
      <c r="E6" s="18"/>
      <c r="F6" s="44"/>
      <c r="G6" s="18"/>
      <c r="H6" s="18"/>
      <c r="I6" s="18"/>
      <c r="J6" s="18"/>
      <c r="K6" s="15"/>
    </row>
    <row r="7" spans="1:11" x14ac:dyDescent="0.45">
      <c r="D7" s="249" t="s">
        <v>73</v>
      </c>
      <c r="E7" s="249"/>
      <c r="F7" s="249"/>
      <c r="J7" s="18"/>
      <c r="K7" s="15"/>
    </row>
    <row r="8" spans="1:11" x14ac:dyDescent="0.45">
      <c r="A8" s="18"/>
      <c r="B8" s="18"/>
      <c r="D8" s="261" t="s">
        <v>25</v>
      </c>
      <c r="E8" s="261"/>
      <c r="F8" s="62">
        <f>'Fire Resistance '!E18/100</f>
        <v>0.35</v>
      </c>
      <c r="J8" s="18"/>
      <c r="K8" s="15"/>
    </row>
    <row r="9" spans="1:11" x14ac:dyDescent="0.45">
      <c r="A9" s="18"/>
      <c r="B9" s="18"/>
      <c r="D9" s="261" t="s">
        <v>24</v>
      </c>
      <c r="E9" s="261" t="s">
        <v>24</v>
      </c>
      <c r="F9" s="62">
        <f>'Fire Resistance '!E19/100</f>
        <v>0.25</v>
      </c>
      <c r="J9" s="18"/>
      <c r="K9" s="15"/>
    </row>
    <row r="10" spans="1:11" x14ac:dyDescent="0.45">
      <c r="A10" s="18"/>
      <c r="B10" s="18"/>
      <c r="D10" s="261" t="s">
        <v>23</v>
      </c>
      <c r="E10" s="261" t="s">
        <v>23</v>
      </c>
      <c r="F10" s="62">
        <f>'Fire Resistance '!E20/100</f>
        <v>0.15</v>
      </c>
      <c r="J10" s="18"/>
      <c r="K10" s="15"/>
    </row>
    <row r="11" spans="1:11" x14ac:dyDescent="0.45">
      <c r="A11" s="18"/>
      <c r="B11" s="18"/>
      <c r="D11" s="261" t="s">
        <v>22</v>
      </c>
      <c r="E11" s="261" t="s">
        <v>22</v>
      </c>
      <c r="F11" s="62">
        <f>'Fire Resistance '!E21/100</f>
        <v>0.25</v>
      </c>
      <c r="J11" s="18"/>
      <c r="K11" s="15"/>
    </row>
    <row r="12" spans="1:11" ht="16.149999999999999" thickBot="1" x14ac:dyDescent="0.55000000000000004">
      <c r="A12" s="19"/>
      <c r="B12" s="17"/>
      <c r="C12" s="17"/>
      <c r="D12" s="17"/>
      <c r="E12" s="17"/>
      <c r="F12" s="17"/>
      <c r="G12" s="17"/>
      <c r="H12" s="17"/>
      <c r="I12" s="17"/>
      <c r="J12" s="17"/>
      <c r="K12" s="15"/>
    </row>
    <row r="13" spans="1:11" ht="16.149999999999999" thickBot="1" x14ac:dyDescent="0.5">
      <c r="A13" s="243" t="s">
        <v>71</v>
      </c>
      <c r="B13" s="244"/>
      <c r="C13" s="244"/>
      <c r="D13" s="244"/>
      <c r="E13" s="244"/>
      <c r="F13" s="244"/>
      <c r="G13" s="244"/>
      <c r="H13" s="244"/>
      <c r="I13" s="244"/>
      <c r="J13" s="244"/>
      <c r="K13" s="245"/>
    </row>
    <row r="14" spans="1:11" ht="15.75" x14ac:dyDescent="0.5">
      <c r="A14" s="46"/>
      <c r="B14" s="21"/>
      <c r="C14" s="21"/>
      <c r="D14" s="21"/>
      <c r="E14" s="21"/>
      <c r="F14" s="21"/>
      <c r="G14" s="21"/>
      <c r="H14" s="21"/>
      <c r="I14" s="21"/>
      <c r="J14" s="21"/>
      <c r="K14" s="47"/>
    </row>
    <row r="15" spans="1:11" ht="15.75" x14ac:dyDescent="0.5">
      <c r="A15" s="48"/>
      <c r="B15" s="242" t="s">
        <v>102</v>
      </c>
      <c r="C15" s="242"/>
      <c r="D15" s="242"/>
      <c r="E15" s="20">
        <f>'Fire Resistance '!E14</f>
        <v>8</v>
      </c>
      <c r="F15" s="21" t="s">
        <v>9</v>
      </c>
      <c r="G15" s="21"/>
      <c r="H15" s="21"/>
      <c r="I15" s="21"/>
      <c r="J15" s="21"/>
      <c r="K15" s="47"/>
    </row>
    <row r="16" spans="1:11" ht="15.75" hidden="1" x14ac:dyDescent="0.5">
      <c r="A16" s="48"/>
      <c r="B16" s="21"/>
      <c r="C16" s="42" t="s">
        <v>54</v>
      </c>
      <c r="D16" s="42" t="s">
        <v>12</v>
      </c>
      <c r="E16" s="21"/>
      <c r="F16" s="21"/>
      <c r="G16" s="21"/>
      <c r="H16" s="21"/>
      <c r="I16" s="21"/>
      <c r="J16" s="21"/>
      <c r="K16" s="47"/>
    </row>
    <row r="17" spans="1:11" ht="15.75" hidden="1" x14ac:dyDescent="0.5">
      <c r="A17" s="48" t="str">
        <f>'Fire Resistance '!$A$18</f>
        <v>Calcareous or Siliceous Gravel</v>
      </c>
      <c r="B17" s="21"/>
      <c r="C17" s="27">
        <f>IF($E$15&gt;'Fire Resistance Lookup Graph'!$B$3,'Fire Resistance Lookup Graph'!$B$3,IF($E$15&lt;'Fire Resistance Lookup Graph'!$P$3,'Fire Resistance Lookup Graph'!$P$3,$E$15))</f>
        <v>6.2</v>
      </c>
      <c r="D17" s="24">
        <f>0.0765*C17^2+0.1955*C17-0.1732</f>
        <v>3.9795600000000007</v>
      </c>
      <c r="E17" s="21"/>
      <c r="F17" s="21"/>
      <c r="G17" s="21"/>
      <c r="H17" s="21"/>
      <c r="I17" s="21"/>
      <c r="J17" s="21"/>
      <c r="K17" s="47"/>
    </row>
    <row r="18" spans="1:11" ht="15.75" hidden="1" x14ac:dyDescent="0.5">
      <c r="A18" s="48" t="str">
        <f>'Fire Resistance '!$A$19</f>
        <v>Limestone, Cinders or Unexpanded Slag</v>
      </c>
      <c r="B18" s="21"/>
      <c r="C18" s="27">
        <f>IF($E$15&gt;'Fire Resistance Lookup Graph'!$B$4,'Fire Resistance Lookup Graph'!$B$4,IF($E$15&lt;'Fire Resistance Lookup Graph'!$P$4,'Fire Resistance Lookup Graph'!$P$4,$E$15))</f>
        <v>5.9</v>
      </c>
      <c r="D18" s="24">
        <f>0.0839*C18^2+0.219*C18-0.2133</f>
        <v>3.9993590000000006</v>
      </c>
      <c r="E18" s="21"/>
      <c r="F18" s="21"/>
      <c r="G18" s="21"/>
      <c r="H18" s="21"/>
      <c r="I18" s="21"/>
      <c r="J18" s="21"/>
      <c r="K18" s="47"/>
    </row>
    <row r="19" spans="1:11" ht="15.75" hidden="1" x14ac:dyDescent="0.5">
      <c r="A19" s="48" t="str">
        <f>'Fire Resistance '!$A$20</f>
        <v>Expanded clay, shale, or slate</v>
      </c>
      <c r="B19" s="21"/>
      <c r="C19" s="27">
        <f>IF($E$15&gt;'Fire Resistance Lookup Graph'!$B$5,'Fire Resistance Lookup Graph'!$B$5,IF($E$15&lt;'Fire Resistance Lookup Graph'!$P$5,'Fire Resistance Lookup Graph'!$P$5,$E$15))</f>
        <v>5.0999999999999996</v>
      </c>
      <c r="D19" s="24">
        <f>0.1668*C19^2-0.0765*C19+0.0839</f>
        <v>4.0322180000000003</v>
      </c>
      <c r="E19" s="21"/>
      <c r="F19" s="21"/>
      <c r="G19" s="21"/>
      <c r="H19" s="21"/>
      <c r="I19" s="21"/>
      <c r="J19" s="21"/>
      <c r="K19" s="47"/>
    </row>
    <row r="20" spans="1:11" ht="15.75" hidden="1" x14ac:dyDescent="0.5">
      <c r="A20" s="48" t="str">
        <f>'Fire Resistance '!$A$21</f>
        <v>Expanded slag or pumice</v>
      </c>
      <c r="B20" s="21"/>
      <c r="C20" s="27">
        <f>IF($E$15&gt;'Fire Resistance Lookup Graph'!$B$6,'Fire Resistance Lookup Graph'!$B$6,IF($E$15&lt;'Fire Resistance Lookup Graph'!$P$6,'Fire Resistance Lookup Graph'!$P$6,$E$15))</f>
        <v>4.7</v>
      </c>
      <c r="D20" s="24">
        <f>0.1389*C20^2+0.2342*C20-0.1647</f>
        <v>4.0043410000000002</v>
      </c>
      <c r="E20" s="21"/>
      <c r="F20" s="21"/>
      <c r="G20" s="21"/>
      <c r="H20" s="21"/>
      <c r="I20" s="21"/>
      <c r="J20" s="21"/>
      <c r="K20" s="47"/>
    </row>
    <row r="21" spans="1:11" ht="16.149999999999999" thickBot="1" x14ac:dyDescent="0.55000000000000004">
      <c r="A21" s="48"/>
      <c r="B21" s="21"/>
      <c r="C21" s="27"/>
      <c r="D21" s="24"/>
      <c r="E21" s="21"/>
      <c r="F21" s="21"/>
      <c r="G21" s="21"/>
      <c r="H21" s="21"/>
      <c r="I21" s="21"/>
      <c r="J21" s="21"/>
      <c r="K21" s="47"/>
    </row>
    <row r="22" spans="1:11" ht="16.149999999999999" thickBot="1" x14ac:dyDescent="0.55000000000000004">
      <c r="A22" s="48"/>
      <c r="B22" s="255" t="s">
        <v>11</v>
      </c>
      <c r="C22" s="256"/>
      <c r="D22" s="256"/>
      <c r="E22" s="35">
        <f>('Fire Resistance '!E18*D17+'Fire Resistance '!E19*D18+'Fire Resistance '!E20*D19+'Fire Resistance '!E21*D20)/100</f>
        <v>3.9986036999999999</v>
      </c>
      <c r="F22" s="25" t="s">
        <v>10</v>
      </c>
      <c r="G22" s="21"/>
      <c r="H22" s="21"/>
      <c r="I22" s="21"/>
      <c r="J22" s="21"/>
      <c r="K22" s="47"/>
    </row>
    <row r="23" spans="1:11" ht="16.149999999999999" thickBot="1" x14ac:dyDescent="0.55000000000000004">
      <c r="A23" s="50"/>
      <c r="B23" s="51"/>
      <c r="C23" s="51"/>
      <c r="D23" s="51"/>
      <c r="E23" s="51"/>
      <c r="F23" s="51"/>
      <c r="G23" s="51"/>
      <c r="H23" s="51"/>
      <c r="I23" s="51"/>
      <c r="J23" s="51"/>
      <c r="K23" s="52"/>
    </row>
    <row r="24" spans="1:11" s="56" customFormat="1" x14ac:dyDescent="0.45">
      <c r="A24" s="53"/>
      <c r="B24" s="53"/>
      <c r="C24" s="53"/>
      <c r="D24" s="54"/>
      <c r="E24" s="53"/>
      <c r="F24" s="54"/>
      <c r="G24" s="53"/>
      <c r="H24" s="53"/>
      <c r="I24" s="53"/>
      <c r="J24" s="53"/>
      <c r="K24" s="55"/>
    </row>
    <row r="25" spans="1:11" ht="14.45" customHeight="1" x14ac:dyDescent="0.45">
      <c r="D25" s="246" t="s">
        <v>103</v>
      </c>
      <c r="E25" s="247"/>
      <c r="F25" s="247"/>
      <c r="G25" s="248"/>
    </row>
    <row r="48" spans="1:11" ht="15.75" x14ac:dyDescent="0.5">
      <c r="A48" s="17"/>
      <c r="B48" s="42"/>
      <c r="C48" s="42"/>
      <c r="D48" s="42"/>
      <c r="E48" s="43"/>
      <c r="F48" s="21"/>
      <c r="G48" s="17"/>
      <c r="H48" s="17"/>
      <c r="I48" s="17"/>
      <c r="J48" s="17"/>
      <c r="K48" s="15"/>
    </row>
    <row r="49" spans="1:11" ht="15.75" x14ac:dyDescent="0.5">
      <c r="A49" s="17"/>
      <c r="B49" s="42"/>
      <c r="C49" s="42"/>
      <c r="D49" s="42"/>
      <c r="E49" s="43"/>
      <c r="F49" s="21"/>
      <c r="G49" s="17"/>
      <c r="H49" s="17"/>
      <c r="I49" s="17"/>
      <c r="J49" s="17"/>
      <c r="K49" s="15"/>
    </row>
    <row r="50" spans="1:11" ht="15.75" x14ac:dyDescent="0.5">
      <c r="A50" s="17"/>
      <c r="B50" s="42"/>
      <c r="C50" s="42"/>
      <c r="D50" s="42"/>
      <c r="E50" s="43"/>
      <c r="F50" s="21"/>
      <c r="G50" s="17"/>
      <c r="H50" s="17"/>
      <c r="I50" s="17"/>
      <c r="J50" s="17"/>
      <c r="K50" s="15"/>
    </row>
    <row r="51" spans="1:11" ht="15.75" x14ac:dyDescent="0.5">
      <c r="A51" s="17"/>
      <c r="B51" s="42"/>
      <c r="C51" s="42"/>
      <c r="D51" s="42"/>
      <c r="E51" s="43"/>
      <c r="F51" s="21"/>
      <c r="G51" s="17"/>
      <c r="H51" s="17"/>
      <c r="I51" s="17"/>
      <c r="J51" s="17"/>
      <c r="K51" s="15"/>
    </row>
    <row r="52" spans="1:11" ht="15.75" x14ac:dyDescent="0.5">
      <c r="A52" s="17"/>
      <c r="B52" s="42"/>
      <c r="C52" s="42"/>
      <c r="D52" s="42"/>
      <c r="E52" s="43"/>
      <c r="F52" s="21"/>
      <c r="G52" s="17"/>
      <c r="H52" s="17"/>
      <c r="I52" s="17"/>
      <c r="J52" s="17"/>
      <c r="K52" s="15"/>
    </row>
    <row r="53" spans="1:11" ht="15.75" x14ac:dyDescent="0.5">
      <c r="A53" s="17"/>
      <c r="B53" s="42"/>
      <c r="C53" s="42"/>
      <c r="D53" s="42"/>
      <c r="E53" s="43"/>
      <c r="F53" s="21"/>
      <c r="G53" s="17"/>
      <c r="H53" s="17"/>
      <c r="I53" s="17"/>
      <c r="J53" s="17"/>
      <c r="K53" s="15"/>
    </row>
    <row r="54" spans="1:11" ht="15.75" x14ac:dyDescent="0.5">
      <c r="A54" s="17"/>
      <c r="B54" s="49"/>
      <c r="C54" s="49"/>
      <c r="D54" s="49"/>
      <c r="E54" s="43"/>
      <c r="F54" s="21"/>
      <c r="G54" s="17"/>
      <c r="H54" s="17"/>
      <c r="I54" s="17"/>
      <c r="J54" s="17"/>
      <c r="K54" s="15"/>
    </row>
    <row r="55" spans="1:11" ht="15.75" x14ac:dyDescent="0.5">
      <c r="A55" s="17"/>
      <c r="B55" s="49"/>
      <c r="C55" s="49"/>
      <c r="D55" s="49"/>
      <c r="E55" s="43"/>
      <c r="F55" s="21"/>
      <c r="G55" s="17"/>
      <c r="H55" s="17"/>
      <c r="I55" s="17"/>
      <c r="J55" s="17"/>
      <c r="K55" s="15"/>
    </row>
    <row r="56" spans="1:11" ht="15.75" x14ac:dyDescent="0.5">
      <c r="A56" s="17"/>
      <c r="B56" s="61"/>
      <c r="C56" s="61"/>
      <c r="D56" s="61"/>
      <c r="E56" s="43"/>
      <c r="F56" s="21"/>
      <c r="G56" s="17"/>
      <c r="H56" s="17"/>
      <c r="I56" s="17"/>
      <c r="J56" s="17"/>
      <c r="K56" s="15"/>
    </row>
    <row r="57" spans="1:11" ht="15.75" x14ac:dyDescent="0.5">
      <c r="A57" s="17"/>
      <c r="B57" s="61"/>
      <c r="C57" s="61"/>
      <c r="D57" s="61"/>
      <c r="E57" s="43"/>
      <c r="F57" s="21"/>
      <c r="G57" s="17"/>
      <c r="H57" s="17"/>
      <c r="I57" s="17"/>
      <c r="J57" s="17"/>
      <c r="K57" s="15"/>
    </row>
    <row r="58" spans="1:11" ht="15.75" x14ac:dyDescent="0.5">
      <c r="A58" s="17"/>
      <c r="B58" s="61"/>
      <c r="C58" s="61"/>
      <c r="D58" s="61"/>
      <c r="E58" s="43"/>
      <c r="F58" s="21"/>
      <c r="G58" s="17"/>
      <c r="H58" s="17"/>
      <c r="I58" s="17"/>
      <c r="J58" s="17"/>
      <c r="K58" s="15"/>
    </row>
    <row r="59" spans="1:11" ht="15.75" x14ac:dyDescent="0.5">
      <c r="A59" s="17"/>
      <c r="B59" s="61"/>
      <c r="C59" s="61"/>
      <c r="D59" s="61"/>
      <c r="E59" s="43"/>
      <c r="F59" s="21"/>
      <c r="G59" s="17"/>
      <c r="H59" s="17"/>
      <c r="I59" s="17"/>
      <c r="J59" s="17"/>
      <c r="K59" s="15"/>
    </row>
    <row r="60" spans="1:11" ht="15.75" x14ac:dyDescent="0.5">
      <c r="A60" s="17"/>
      <c r="B60" s="61"/>
      <c r="C60" s="61"/>
      <c r="D60" s="61"/>
      <c r="E60" s="43"/>
      <c r="F60" s="21"/>
      <c r="G60" s="17"/>
      <c r="H60" s="17"/>
      <c r="I60" s="17"/>
      <c r="J60" s="17"/>
      <c r="K60" s="15"/>
    </row>
    <row r="61" spans="1:11" ht="15.75" x14ac:dyDescent="0.5">
      <c r="A61" s="17"/>
      <c r="B61" s="61"/>
      <c r="C61" s="61"/>
      <c r="D61" s="61"/>
      <c r="E61" s="43"/>
      <c r="F61" s="21"/>
      <c r="G61" s="17"/>
      <c r="H61" s="17"/>
      <c r="I61" s="17"/>
      <c r="J61" s="17"/>
      <c r="K61" s="15"/>
    </row>
    <row r="62" spans="1:11" ht="15.75" x14ac:dyDescent="0.5">
      <c r="A62" s="17"/>
      <c r="B62" s="61"/>
      <c r="C62" s="61"/>
      <c r="D62" s="61"/>
      <c r="E62" s="43"/>
      <c r="F62" s="21"/>
      <c r="G62" s="17"/>
      <c r="H62" s="17"/>
      <c r="I62" s="17"/>
      <c r="J62" s="17"/>
      <c r="K62" s="15"/>
    </row>
    <row r="63" spans="1:11" ht="15.75" x14ac:dyDescent="0.5">
      <c r="A63" s="17"/>
      <c r="B63" s="61"/>
      <c r="C63" s="61"/>
      <c r="D63" s="61"/>
      <c r="E63" s="43"/>
      <c r="F63" s="21"/>
      <c r="G63" s="17"/>
      <c r="H63" s="17"/>
      <c r="I63" s="17"/>
      <c r="J63" s="17"/>
      <c r="K63" s="15"/>
    </row>
    <row r="64" spans="1:11" ht="15.75" x14ac:dyDescent="0.5">
      <c r="A64" s="17"/>
      <c r="B64" s="61"/>
      <c r="C64" s="61"/>
      <c r="D64" s="61"/>
      <c r="E64" s="43"/>
      <c r="F64" s="21"/>
      <c r="G64" s="17"/>
      <c r="H64" s="17"/>
      <c r="I64" s="17"/>
      <c r="J64" s="17"/>
      <c r="K64" s="15"/>
    </row>
    <row r="65" spans="1:11" ht="15.75" x14ac:dyDescent="0.5">
      <c r="A65" s="17"/>
      <c r="B65" s="61"/>
      <c r="C65" s="61"/>
      <c r="D65" s="61"/>
      <c r="E65" s="43"/>
      <c r="F65" s="21"/>
      <c r="G65" s="17"/>
      <c r="H65" s="17"/>
      <c r="I65" s="17"/>
      <c r="J65" s="17"/>
      <c r="K65" s="15"/>
    </row>
    <row r="66" spans="1:11" ht="15.75" x14ac:dyDescent="0.5">
      <c r="A66" s="17"/>
      <c r="B66" s="61"/>
      <c r="C66" s="61"/>
      <c r="D66" s="61"/>
      <c r="E66" s="43"/>
      <c r="F66" s="21"/>
      <c r="G66" s="17"/>
      <c r="H66" s="17"/>
      <c r="I66" s="17"/>
      <c r="J66" s="17"/>
      <c r="K66" s="15"/>
    </row>
    <row r="67" spans="1:11" x14ac:dyDescent="0.45">
      <c r="A67" s="15"/>
      <c r="B67" s="15"/>
      <c r="C67" s="15"/>
      <c r="D67" s="15"/>
      <c r="E67" s="15"/>
      <c r="F67" s="15"/>
      <c r="G67" s="85" t="s">
        <v>78</v>
      </c>
      <c r="H67" s="237">
        <f>H1</f>
        <v>0</v>
      </c>
      <c r="I67" s="237"/>
      <c r="J67" s="237"/>
      <c r="K67" s="237"/>
    </row>
    <row r="68" spans="1:11" x14ac:dyDescent="0.45">
      <c r="A68" s="15"/>
      <c r="B68" s="15"/>
      <c r="C68" s="15"/>
      <c r="D68" s="15"/>
      <c r="E68" s="15"/>
      <c r="F68" s="15"/>
      <c r="G68" s="85" t="s">
        <v>5</v>
      </c>
      <c r="H68" s="238">
        <f>H2</f>
        <v>0</v>
      </c>
      <c r="I68" s="238"/>
      <c r="J68" s="238"/>
      <c r="K68" s="238"/>
    </row>
    <row r="69" spans="1:11" x14ac:dyDescent="0.45">
      <c r="A69" s="15"/>
      <c r="B69" s="15"/>
      <c r="C69" s="15"/>
      <c r="D69" s="15"/>
      <c r="E69" s="15"/>
      <c r="F69" s="15"/>
      <c r="G69" s="85" t="s">
        <v>6</v>
      </c>
      <c r="H69" s="238">
        <f>H3</f>
        <v>0</v>
      </c>
      <c r="I69" s="238"/>
      <c r="J69" s="238"/>
      <c r="K69" s="238"/>
    </row>
    <row r="70" spans="1:11" x14ac:dyDescent="0.45">
      <c r="A70" s="15"/>
      <c r="B70" s="15"/>
      <c r="C70" s="15"/>
      <c r="D70" s="15"/>
      <c r="E70" s="15"/>
      <c r="F70" s="15"/>
      <c r="G70" s="85" t="s">
        <v>7</v>
      </c>
      <c r="H70" s="238">
        <f>H4</f>
        <v>0</v>
      </c>
      <c r="I70" s="238"/>
      <c r="J70" s="238"/>
      <c r="K70" s="238"/>
    </row>
    <row r="71" spans="1:11" x14ac:dyDescent="0.45">
      <c r="A71" s="15"/>
      <c r="B71" s="15"/>
      <c r="C71" s="15"/>
      <c r="D71" s="15"/>
      <c r="E71" s="15"/>
      <c r="F71" s="15"/>
      <c r="G71" s="15"/>
      <c r="H71" s="2"/>
      <c r="I71" s="2"/>
      <c r="J71" s="15"/>
      <c r="K71" s="15"/>
    </row>
    <row r="72" spans="1:11" x14ac:dyDescent="0.45">
      <c r="A72" s="18"/>
      <c r="B72" s="18"/>
      <c r="C72" s="18"/>
      <c r="D72" s="60"/>
      <c r="E72" s="18"/>
      <c r="F72" s="60"/>
      <c r="G72" s="18"/>
      <c r="H72" s="18"/>
      <c r="I72" s="18"/>
      <c r="J72" s="18"/>
      <c r="K72" s="15"/>
    </row>
    <row r="73" spans="1:11" x14ac:dyDescent="0.45">
      <c r="D73" s="249" t="s">
        <v>99</v>
      </c>
      <c r="E73" s="249"/>
      <c r="F73" s="249"/>
      <c r="J73" s="18"/>
      <c r="K73" s="15"/>
    </row>
    <row r="74" spans="1:11" x14ac:dyDescent="0.45">
      <c r="A74" s="18"/>
      <c r="B74" s="18"/>
      <c r="D74" s="261" t="s">
        <v>25</v>
      </c>
      <c r="E74" s="261"/>
      <c r="F74" s="83">
        <f>$F8</f>
        <v>0.35</v>
      </c>
      <c r="J74" s="18"/>
      <c r="K74" s="15"/>
    </row>
    <row r="75" spans="1:11" x14ac:dyDescent="0.45">
      <c r="A75" s="18"/>
      <c r="B75" s="18"/>
      <c r="D75" s="261" t="s">
        <v>24</v>
      </c>
      <c r="E75" s="261" t="s">
        <v>24</v>
      </c>
      <c r="F75" s="106">
        <f>$F9</f>
        <v>0.25</v>
      </c>
      <c r="J75" s="18"/>
      <c r="K75" s="15"/>
    </row>
    <row r="76" spans="1:11" x14ac:dyDescent="0.45">
      <c r="A76" s="18"/>
      <c r="B76" s="18"/>
      <c r="D76" s="261" t="s">
        <v>23</v>
      </c>
      <c r="E76" s="261" t="s">
        <v>23</v>
      </c>
      <c r="F76" s="106">
        <f>$F10</f>
        <v>0.15</v>
      </c>
      <c r="J76" s="18"/>
      <c r="K76" s="15"/>
    </row>
    <row r="77" spans="1:11" x14ac:dyDescent="0.45">
      <c r="A77" s="18"/>
      <c r="B77" s="18"/>
      <c r="D77" s="261" t="s">
        <v>22</v>
      </c>
      <c r="E77" s="261" t="s">
        <v>22</v>
      </c>
      <c r="F77" s="106">
        <f>$F11</f>
        <v>0.25</v>
      </c>
      <c r="J77" s="18"/>
      <c r="K77" s="15"/>
    </row>
    <row r="78" spans="1:11" ht="16.149999999999999" thickBot="1" x14ac:dyDescent="0.55000000000000004">
      <c r="A78" s="17"/>
      <c r="B78" s="61"/>
      <c r="C78" s="61"/>
      <c r="D78" s="61"/>
      <c r="E78" s="43"/>
      <c r="F78" s="21"/>
      <c r="G78" s="17"/>
      <c r="H78" s="17"/>
      <c r="I78" s="17"/>
      <c r="J78" s="17"/>
      <c r="K78" s="15"/>
    </row>
    <row r="79" spans="1:11" ht="16.149999999999999" thickBot="1" x14ac:dyDescent="0.55000000000000004">
      <c r="A79" s="239" t="s">
        <v>72</v>
      </c>
      <c r="B79" s="240"/>
      <c r="C79" s="240"/>
      <c r="D79" s="240"/>
      <c r="E79" s="240"/>
      <c r="F79" s="240"/>
      <c r="G79" s="240"/>
      <c r="H79" s="240"/>
      <c r="I79" s="240"/>
      <c r="J79" s="240"/>
      <c r="K79" s="241"/>
    </row>
    <row r="80" spans="1:11" ht="15.75" x14ac:dyDescent="0.5">
      <c r="A80" s="48"/>
      <c r="B80" s="21"/>
      <c r="C80" s="21"/>
      <c r="D80" s="21"/>
      <c r="E80" s="21"/>
      <c r="F80" s="21"/>
      <c r="G80" s="21"/>
      <c r="H80" s="21"/>
      <c r="I80" s="21"/>
      <c r="J80" s="21"/>
      <c r="K80" s="47"/>
    </row>
    <row r="81" spans="1:11" ht="15.75" x14ac:dyDescent="0.5">
      <c r="A81" s="48"/>
      <c r="B81" s="242" t="s">
        <v>11</v>
      </c>
      <c r="C81" s="242"/>
      <c r="D81" s="242"/>
      <c r="E81" s="20">
        <f>'Fire Resistance Rating'!$E$22</f>
        <v>3.9986036999999999</v>
      </c>
      <c r="F81" s="21" t="s">
        <v>10</v>
      </c>
      <c r="G81" s="21"/>
      <c r="H81" s="21"/>
      <c r="I81" s="21"/>
      <c r="J81" s="21"/>
      <c r="K81" s="47"/>
    </row>
    <row r="82" spans="1:11" ht="15.75" x14ac:dyDescent="0.5">
      <c r="A82" s="48"/>
      <c r="B82" s="84"/>
      <c r="C82" s="84"/>
      <c r="D82" s="84"/>
      <c r="E82" s="21"/>
      <c r="F82" s="21"/>
      <c r="G82" s="21"/>
      <c r="H82" s="21"/>
      <c r="I82" s="21"/>
      <c r="J82" s="21"/>
      <c r="K82" s="47"/>
    </row>
    <row r="83" spans="1:11" ht="15.75" x14ac:dyDescent="0.5">
      <c r="A83" s="48"/>
      <c r="B83" s="242" t="str">
        <f>IF(AND('Fire Resistance '!$E$31="Equivalent Thickness",'Fire Resistance '!$E$28&gt;=2,OR('Fire Resistance '!$E$30="Clay / CMU / Clay",'Fire Resistance '!$E$29="Clay / CMU",'Fire Resistance '!$E$30="Clay / CMU / CMU")),"Equivalent Thickness for Clay Wythe #1",IF(AND('Fire Resistance '!$E$31="Equivalent Thickness",'Fire Resistance '!$E$28&gt;=2,OR('Fire Resistance '!$E$30="CMU / CMU / CMU",'Fire Resistance '!$E$29="CMU / CMU")),"Equivalent Thickness for CMU Wythe #1",IF(AND('Fire Resistance '!$E$31="Fire Rating",'Fire Resistance '!$E$28&gt;=2,OR('Fire Resistance '!$E$30="Clay / CMU / Clay",'Fire Resistance '!$E$29="Clay / CMU",'Fire Resistance '!$E$30="Clay / CMU / CMU")),"Fire Rating for clay Wythe #1","Fire Rating for CMU Wythe #1")))</f>
        <v>Equivalent Thickness for Clay Wythe #1</v>
      </c>
      <c r="C83" s="242"/>
      <c r="D83" s="242"/>
      <c r="E83" s="20">
        <f>'Fire Resistance '!$E$33</f>
        <v>3</v>
      </c>
      <c r="F83" s="21" t="str">
        <f>IF(AND('Fire Resistance '!$E$31="Equivalent Thickness",'Fire Resistance '!$E$28&gt;=2), "in.", "hours")</f>
        <v>in.</v>
      </c>
      <c r="G83" s="21"/>
      <c r="H83" s="21"/>
      <c r="I83" s="21"/>
      <c r="J83" s="21"/>
      <c r="K83" s="47"/>
    </row>
    <row r="84" spans="1:11" ht="15.75" hidden="1" x14ac:dyDescent="0.5">
      <c r="A84" s="48"/>
      <c r="B84" s="21"/>
      <c r="C84" s="61" t="s">
        <v>95</v>
      </c>
      <c r="D84" s="61" t="s">
        <v>96</v>
      </c>
      <c r="E84" s="61" t="s">
        <v>97</v>
      </c>
      <c r="F84" s="61" t="s">
        <v>98</v>
      </c>
      <c r="G84" s="21"/>
      <c r="H84" s="21"/>
      <c r="I84" s="21"/>
      <c r="J84" s="21"/>
      <c r="K84" s="47"/>
    </row>
    <row r="85" spans="1:11" ht="15.75" hidden="1" x14ac:dyDescent="0.5">
      <c r="A85" s="48" t="str">
        <f>'Fire Resistance '!$A$18</f>
        <v>Calcareous or Siliceous Gravel</v>
      </c>
      <c r="B85" s="21"/>
      <c r="C85" s="27">
        <f>IF($E$83&gt;'Fire Resistance Lookup Graph'!$B$3,'Fire Resistance Lookup Graph'!$B$3,IF($E$83&lt;'Fire Resistance Lookup Graph'!$P$3,'Fire Resistance Lookup Graph'!$P$3,$E$83))</f>
        <v>3</v>
      </c>
      <c r="D85" s="24">
        <f>0.0765*C85^2+0.1955*C85-0.1732</f>
        <v>1.1017999999999999</v>
      </c>
      <c r="E85" s="27">
        <f>IF($E$90&gt;'Fire Resistance Lookup Graph'!$B$3,'Fire Resistance Lookup Graph'!$B$3,IF($E$90&lt;'Fire Resistance Lookup Graph'!$P$3,'Fire Resistance Lookup Graph'!$P$3,$E$90))</f>
        <v>6.2</v>
      </c>
      <c r="F85" s="24">
        <f>0.0765*E85^2+0.1955*E85-0.1732</f>
        <v>3.9795600000000007</v>
      </c>
      <c r="G85" s="21"/>
      <c r="H85" s="21"/>
      <c r="I85" s="21"/>
      <c r="J85" s="21"/>
      <c r="K85" s="47"/>
    </row>
    <row r="86" spans="1:11" ht="15.75" hidden="1" x14ac:dyDescent="0.5">
      <c r="A86" s="48" t="str">
        <f>'Fire Resistance '!$A$19</f>
        <v>Limestone, Cinders or Unexpanded Slag</v>
      </c>
      <c r="B86" s="21"/>
      <c r="C86" s="27">
        <f>IF($E$83&gt;'Fire Resistance Lookup Graph'!$B$4,'Fire Resistance Lookup Graph'!$B$4,IF($E$83&lt;'Fire Resistance Lookup Graph'!$P$4,'Fire Resistance Lookup Graph'!$P$4,$E$83))</f>
        <v>3</v>
      </c>
      <c r="D86" s="24">
        <f>0.0839*C86^2+0.219*C86-0.2133</f>
        <v>1.1988000000000001</v>
      </c>
      <c r="E86" s="27">
        <f>IF($E$90&gt;'Fire Resistance Lookup Graph'!$B$4,'Fire Resistance Lookup Graph'!$B$4,IF($E$90&lt;'Fire Resistance Lookup Graph'!$P$4,'Fire Resistance Lookup Graph'!$P$4,$E$90))</f>
        <v>5.9</v>
      </c>
      <c r="F86" s="24">
        <f>0.0839*E86^2+0.219*E86-0.2133</f>
        <v>3.9993590000000006</v>
      </c>
      <c r="G86" s="21"/>
      <c r="H86" s="21"/>
      <c r="I86" s="21"/>
      <c r="J86" s="21"/>
      <c r="K86" s="47"/>
    </row>
    <row r="87" spans="1:11" ht="15.75" hidden="1" x14ac:dyDescent="0.5">
      <c r="A87" s="48" t="str">
        <f>'Fire Resistance '!$A$20</f>
        <v>Expanded clay, shale, or slate</v>
      </c>
      <c r="B87" s="21"/>
      <c r="C87" s="27">
        <f>IF($E$83&gt;'Fire Resistance Lookup Graph'!$B$5,'Fire Resistance Lookup Graph'!$B$5,IF($E$83&lt;'Fire Resistance Lookup Graph'!$P$5,'Fire Resistance Lookup Graph'!$P$5,$E$83))</f>
        <v>3</v>
      </c>
      <c r="D87" s="24">
        <f>0.1668*C87^2-0.0765*C87+0.0839</f>
        <v>1.3556000000000001</v>
      </c>
      <c r="E87" s="27">
        <f>IF($E$90&gt;'Fire Resistance Lookup Graph'!$B$5,'Fire Resistance Lookup Graph'!$B$5,IF($E$90&lt;'Fire Resistance Lookup Graph'!$P$5,'Fire Resistance Lookup Graph'!$P$5,$E$90))</f>
        <v>5.0999999999999996</v>
      </c>
      <c r="F87" s="24">
        <f>0.1668*E87^2-0.0765*E87+0.0839</f>
        <v>4.0322180000000003</v>
      </c>
      <c r="G87" s="21"/>
      <c r="H87" s="21"/>
      <c r="I87" s="21"/>
      <c r="J87" s="21"/>
      <c r="K87" s="47"/>
    </row>
    <row r="88" spans="1:11" ht="15.75" hidden="1" x14ac:dyDescent="0.5">
      <c r="A88" s="48" t="str">
        <f>'Fire Resistance '!$A$21</f>
        <v>Expanded slag or pumice</v>
      </c>
      <c r="B88" s="21"/>
      <c r="C88" s="27">
        <f>IF($E$83&gt;'Fire Resistance Lookup Graph'!$B$6,'Fire Resistance Lookup Graph'!$B$6,IF($E$83&lt;'Fire Resistance Lookup Graph'!$P$6,'Fire Resistance Lookup Graph'!$P$6,$E$83))</f>
        <v>3</v>
      </c>
      <c r="D88" s="24">
        <f>0.1389*C88^2+0.2342*C88-0.1647</f>
        <v>1.788</v>
      </c>
      <c r="E88" s="27">
        <f>IF($E$90&gt;'Fire Resistance Lookup Graph'!$B$6,'Fire Resistance Lookup Graph'!$B$6,IF($E$90&lt;'Fire Resistance Lookup Graph'!$P$6,'Fire Resistance Lookup Graph'!$P$6,$E$90))</f>
        <v>4.7</v>
      </c>
      <c r="F88" s="24">
        <f>0.1389*E88^2+0.2342*E88-0.1647</f>
        <v>4.0043410000000002</v>
      </c>
      <c r="G88" s="21"/>
      <c r="H88" s="21"/>
      <c r="I88" s="21"/>
      <c r="J88" s="21"/>
      <c r="K88" s="47"/>
    </row>
    <row r="89" spans="1:11" ht="15.75" x14ac:dyDescent="0.5">
      <c r="A89" s="48"/>
      <c r="B89" s="21"/>
      <c r="C89" s="27"/>
      <c r="D89" s="24"/>
      <c r="E89" s="27"/>
      <c r="F89" s="24"/>
      <c r="G89" s="21"/>
      <c r="H89" s="21"/>
      <c r="I89" s="21"/>
      <c r="J89" s="21"/>
      <c r="K89" s="47"/>
    </row>
    <row r="90" spans="1:11" ht="15.75" x14ac:dyDescent="0.5">
      <c r="A90" s="48"/>
      <c r="B90" s="242" t="str">
        <f>IF(AND('Fire Resistance '!$E$31="Equivalent Thickness",'Fire Resistance '!$E$28&gt;2,OR('Fire Resistance '!$E$30="Clay / CMU / Clay",'Fire Resistance '!$E$29="Clay / CMU")),"Equivalent Thickness for Clay Wythe #2",IF(AND('Fire Resistance '!$E$31="Equivalent Thickness",'Fire Resistance '!$E$28&gt;2,OR('Fire Resistance '!$E$30="CMU / CMU / CMU",'Fire Resistance '!$E$29="CMU / CMU",'Fire Resistance '!$E$30="Clay / CMU / CMU")),"Equivalent Thickness for CMU Wythe #1",IF(AND('Fire Resistance '!$E$31="Fire Rating",'Fire Resistance '!$E$28&gt;2,OR('Fire Resistance '!$E$30="Clay / CMU / Clay",'Fire Resistance '!$E$29="Clay / CMU")),"Fire Rating for clay Wythe #2",IF(AND('Fire Resistance '!$E$31="Fire Rating",'Fire Resistance '!$E$28&gt;2,OR('Fire Resistance '!$E$30="CMU / CMU / CMU",'Fire Resistance '!$E$29="CMU / CMU",'Fire Resistance '!$E$30="Clay / CMU / CMU")),"Fire Rating for CMU Wythe #2",""))))</f>
        <v/>
      </c>
      <c r="C90" s="242"/>
      <c r="D90" s="242"/>
      <c r="E90" s="20" t="str">
        <f>IF('Fire Resistance '!$E$28&gt;2,'Fire Resistance '!$E$34,"")</f>
        <v/>
      </c>
      <c r="F90" s="21" t="str">
        <f>IF(AND('Fire Resistance '!$E$31="Equivalent Thickness",'Fire Resistance '!$E$28&gt;2), "in.",IF(AND('Fire Resistance '!$E$31="Fire Rating",'Fire Resistance '!$E$28&gt;2),"hours",""))</f>
        <v/>
      </c>
      <c r="G90" s="21"/>
      <c r="H90" s="21"/>
      <c r="I90" s="21"/>
      <c r="J90" s="21"/>
      <c r="K90" s="47"/>
    </row>
    <row r="91" spans="1:11" ht="15.75" hidden="1" x14ac:dyDescent="0.5">
      <c r="A91" s="48"/>
      <c r="B91" s="81"/>
      <c r="C91" s="81"/>
      <c r="D91" s="81"/>
      <c r="E91" s="21"/>
      <c r="F91" s="21"/>
      <c r="G91" s="21"/>
      <c r="H91" s="21"/>
      <c r="I91" s="21"/>
      <c r="J91" s="21"/>
      <c r="K91" s="47"/>
    </row>
    <row r="92" spans="1:11" ht="15.75" hidden="1" x14ac:dyDescent="0.5">
      <c r="A92" s="48"/>
      <c r="B92" s="81"/>
      <c r="C92" s="81" t="s">
        <v>50</v>
      </c>
      <c r="D92" s="82" t="s">
        <v>52</v>
      </c>
      <c r="E92" s="21" t="s">
        <v>51</v>
      </c>
      <c r="F92" s="57" t="s">
        <v>53</v>
      </c>
      <c r="G92" s="21"/>
      <c r="H92" s="21"/>
      <c r="I92" s="21"/>
      <c r="J92" s="21"/>
      <c r="K92" s="47"/>
    </row>
    <row r="93" spans="1:11" ht="15.75" hidden="1" x14ac:dyDescent="0.5">
      <c r="A93" s="48" t="s">
        <v>15</v>
      </c>
      <c r="B93" s="81"/>
      <c r="C93" s="21">
        <f>IF($E$83&gt;'Fire Resistance Lookup Graph'!$B$47,'Fire Resistance Lookup Graph'!$B$47,IF($E$83&lt;'Fire Resistance Lookup Graph'!$E$47,'Fire Resistance Lookup Graph'!$E$47,$E$83))</f>
        <v>3</v>
      </c>
      <c r="D93" s="24">
        <f>-2*10^-15*$C$93+0.9091*$C$93-1.4545</f>
        <v>1.2727999999999939</v>
      </c>
      <c r="E93" s="21">
        <f>IF($E$90&gt;'Fire Resistance Lookup Graph'!$B$47,'Fire Resistance Lookup Graph'!$B$47,IF($E$90&lt;'Fire Resistance Lookup Graph'!$E$47,'Fire Resistance Lookup Graph'!$E$47,$E$90))</f>
        <v>6</v>
      </c>
      <c r="F93" s="24">
        <f>-2*10^-15*$E$93+0.9091*$E$93-1.4545</f>
        <v>4.0000999999999873</v>
      </c>
      <c r="G93" s="21"/>
      <c r="H93" s="21"/>
      <c r="I93" s="21"/>
      <c r="J93" s="21"/>
      <c r="K93" s="47"/>
    </row>
    <row r="94" spans="1:11" ht="15.75" hidden="1" x14ac:dyDescent="0.5">
      <c r="A94" s="48" t="s">
        <v>0</v>
      </c>
      <c r="B94" s="81"/>
      <c r="C94" s="21">
        <f>IF($E$83&gt;'Fire Resistance Lookup Graph'!$B$48,'Fire Resistance Lookup Graph'!$B$48,IF($E$83&lt;'Fire Resistance Lookup Graph'!$E$48,'Fire Resistance Lookup Graph'!$E$48,$E$83))</f>
        <v>3</v>
      </c>
      <c r="D94" s="24">
        <f>0.1367*$C$94^2+0.1072*$C$94+0.0354</f>
        <v>1.5872999999999999</v>
      </c>
      <c r="E94" s="21">
        <f>IF($E$90&gt;'Fire Resistance Lookup Graph'!$B$48,'Fire Resistance Lookup Graph'!$B$48,IF($E$90&lt;'Fire Resistance Lookup Graph'!$E$48,'Fire Resistance Lookup Graph'!$E$48,$E$90))</f>
        <v>5</v>
      </c>
      <c r="F94" s="24">
        <f>0.1367*$E$94^2+0.1072*$E$94+0.0354</f>
        <v>3.9888999999999997</v>
      </c>
      <c r="G94" s="21"/>
      <c r="H94" s="21"/>
      <c r="I94" s="21"/>
      <c r="J94" s="21"/>
      <c r="K94" s="47"/>
    </row>
    <row r="95" spans="1:11" ht="15.75" hidden="1" x14ac:dyDescent="0.5">
      <c r="A95" s="48" t="s">
        <v>14</v>
      </c>
      <c r="B95" s="81"/>
      <c r="C95" s="21">
        <f>IF($E$83&gt;'Fire Resistance Lookup Graph'!$B$49,'Fire Resistance Lookup Graph'!$B$49,IF($E$83&lt;'Fire Resistance Lookup Graph'!$E$49,'Fire Resistance Lookup Graph'!$E$49,$E$83))</f>
        <v>3</v>
      </c>
      <c r="D95" s="24">
        <f>0.0444*$C$95^2+0.4127*$C$95-0.6455</f>
        <v>0.99219999999999997</v>
      </c>
      <c r="E95" s="21">
        <f>IF($E$90&gt;'Fire Resistance Lookup Graph'!$B$49,'Fire Resistance Lookup Graph'!$B$49,IF($E$90&lt;'Fire Resistance Lookup Graph'!$E$49,'Fire Resistance Lookup Graph'!$E$49,$E$90))</f>
        <v>6.6</v>
      </c>
      <c r="F95" s="24">
        <f>0.0444*$E$95^2+0.4127*$E$95-0.6455</f>
        <v>4.0123839999999991</v>
      </c>
      <c r="G95" s="21"/>
      <c r="H95" s="21"/>
      <c r="I95" s="21"/>
      <c r="J95" s="21"/>
      <c r="K95" s="47"/>
    </row>
    <row r="96" spans="1:11" ht="15.75" hidden="1" x14ac:dyDescent="0.5">
      <c r="A96" s="48"/>
      <c r="B96" s="81"/>
      <c r="C96" s="81"/>
      <c r="D96" s="81"/>
      <c r="E96" s="21"/>
      <c r="F96" s="21"/>
      <c r="G96" s="21"/>
      <c r="H96" s="21"/>
      <c r="I96" s="21"/>
      <c r="J96" s="21"/>
      <c r="K96" s="47"/>
    </row>
    <row r="97" spans="1:11" ht="15.75" x14ac:dyDescent="0.5">
      <c r="A97" s="48"/>
      <c r="B97" s="81"/>
      <c r="C97" s="81"/>
      <c r="D97" s="81"/>
      <c r="E97" s="21"/>
      <c r="F97" s="21"/>
      <c r="G97" s="21"/>
      <c r="H97" s="21"/>
      <c r="I97" s="21"/>
      <c r="J97" s="21"/>
      <c r="K97" s="47"/>
    </row>
    <row r="98" spans="1:11" ht="15.75" x14ac:dyDescent="0.5">
      <c r="A98" s="48"/>
      <c r="B98" s="242" t="str">
        <f>IF(AND('Fire Resistance '!$E$31="Equivalent Thickness",'Fire Resistance '!$E$28&gt;=2,OR('Fire Resistance '!$E$30="Clay / CMU / Clay",'Fire Resistance '!$E$29="Clay / CMU",'Fire Resistance '!$E$30="Clay / CMU / CMU")),"Fire Rating for Clay Wythe #1",IF(AND('Fire Resistance '!$E$31="Equivalent Thickness",'Fire Resistance '!$E$28&gt;=2,OR('Fire Resistance '!$E$30="CMU / CMU / CMU",'Fire Resistance '!$E$29="CMU / CMU")),"Fire Rating for CMU Wythe #1",""))</f>
        <v>Fire Rating for Clay Wythe #1</v>
      </c>
      <c r="C98" s="242"/>
      <c r="D98" s="242"/>
      <c r="E98" s="20">
        <f>IF(AND('Fire Resistance '!$E$31="Equivalent Thickness",'Fire Resistance '!$E$28&gt;=2, $B$98="Fire Rating for Clay Wythe #1"), INDEX($D$93:$D$95,MATCH('Fire Resistance '!$E$37,$A$93:$A$95,0)),('Fire Resistance '!E42*D85+'Fire Resistance '!E43*D86+'Fire Resistance '!E44*D87+'Fire Resistance '!E45*D88)/100)</f>
        <v>1.2727999999999939</v>
      </c>
      <c r="F98" s="21" t="str">
        <f>IF(AND('Fire Resistance '!$E$31="Equivalent Thickness",'Fire Resistance '!$E$28&gt;=2), "hours","")</f>
        <v>hours</v>
      </c>
      <c r="G98" s="21"/>
      <c r="H98" s="21"/>
      <c r="I98" s="21"/>
      <c r="J98" s="21"/>
      <c r="K98" s="47"/>
    </row>
    <row r="99" spans="1:11" ht="15.75" x14ac:dyDescent="0.5">
      <c r="A99" s="48"/>
      <c r="B99" s="109"/>
      <c r="C99" s="109"/>
      <c r="D99" s="109"/>
      <c r="E99" s="21"/>
      <c r="F99" s="21"/>
      <c r="G99" s="21"/>
      <c r="H99" s="21"/>
      <c r="I99" s="21"/>
      <c r="J99" s="21"/>
      <c r="K99" s="47"/>
    </row>
    <row r="100" spans="1:11" ht="15.75" x14ac:dyDescent="0.5">
      <c r="A100" s="48"/>
      <c r="B100" s="242" t="str">
        <f>IF(AND('Fire Resistance '!$E$31="Equivalent Thickness",'Fire Resistance '!$E$28&gt;2,OR('Fire Resistance '!$E$30="Clay / CMU / Clay",'Fire Resistance '!$E$29="Clay / CMU")),"Fire Rating for Clay Wythe #2",IF(AND('Fire Resistance '!$E$31="Equivalent Thickness",'Fire Resistance '!$E$28&gt;2,OR('Fire Resistance '!$E$30="CMU / CMU / CMU",'Fire Resistance '!$E$29="CMU / CMU",'Fire Resistance '!$E$30="Clay / CMU / CMU")),"Fire Rating for CMU Wythe #2",""))</f>
        <v/>
      </c>
      <c r="C100" s="242"/>
      <c r="D100" s="242"/>
      <c r="E100" s="20">
        <f>IF(AND('Fire Resistance '!$E$31="Equivalent Thickness",'Fire Resistance '!$E$28&gt;2,$B$100="Fire Rating for Clay Wythe #2"),INDEX($F$93:$F$95,MATCH('Fire Resistance '!$E$38,$A$93:$A$95,0)),('Fire Resistance '!E49*F85+'Fire Resistance '!E50*F86+'Fire Resistance '!E51*F87+'Fire Resistance '!E52*F88)/100)</f>
        <v>0</v>
      </c>
      <c r="F100" s="21" t="str">
        <f>IF(AND('Fire Resistance '!$E$31="Equivalent Thickness",'Fire Resistance '!$E$28&gt;2), "hours","")</f>
        <v/>
      </c>
      <c r="G100" s="21"/>
      <c r="H100" s="21"/>
      <c r="I100" s="21"/>
      <c r="J100" s="21"/>
      <c r="K100" s="47"/>
    </row>
    <row r="101" spans="1:11" ht="16.149999999999999" thickBot="1" x14ac:dyDescent="0.55000000000000004">
      <c r="A101" s="48"/>
      <c r="B101" s="110"/>
      <c r="C101" s="110"/>
      <c r="D101" s="110"/>
      <c r="E101" s="21"/>
      <c r="F101" s="21"/>
      <c r="G101" s="21"/>
      <c r="H101" s="21"/>
      <c r="I101" s="21"/>
      <c r="J101" s="21"/>
      <c r="K101" s="47"/>
    </row>
    <row r="102" spans="1:11" ht="16.149999999999999" thickBot="1" x14ac:dyDescent="0.55000000000000004">
      <c r="A102" s="48"/>
      <c r="B102" s="255" t="s">
        <v>59</v>
      </c>
      <c r="C102" s="256"/>
      <c r="D102" s="262"/>
      <c r="E102" s="35">
        <f>IF(AND('Fire Resistance '!E31="Equivalent Thickness",'Fire Resistance '!E28=2),IF(SUM(E81^0.59,E98^0.59,0.3*('Fire Resistance '!E28-1))^1.7&gt;4,4,SUM(E81^0.59,E98^0.59,0.3*('Fire Resistance '!E28-1))^1.7),IF(AND('Fire Resistance '!E31="Equivalent Thickness",'Fire Resistance '!E28=3),IF(SUM(E81^0.59,E98^0.59,E100^0.59,0.3*('Fire Resistance '!E28-1))^1.7&gt;4,4,SUM(E81^0.59,E98^0.59,E100^0.59,0.3*('Fire Resistance '!E28-1))^1.7),IF(AND('Fire Resistance '!E31="Fire Rating",'Fire Resistance '!E28=2),IF(SUM(E81^0.59,E83^0.59,0.3*('Fire Resistance '!E28-1))^1.7&gt;4,4,SUM(E81^0.59,E83^0.59,0.3*('Fire Resistance '!E28-1))^1.7),IF(SUM(E81^0.59,E83^0.59,E90^0.59,0.3*('Fire Resistance '!E28-1))^1.7&gt;4,4,SUM(E81^0.59,E83^0.59,E90^0.59,0.3*('Fire Resistance '!E28-1))^1.7))))</f>
        <v>4</v>
      </c>
      <c r="F102" s="25" t="s">
        <v>10</v>
      </c>
      <c r="G102" s="21"/>
      <c r="H102" s="21"/>
      <c r="I102" s="21"/>
      <c r="J102" s="21"/>
      <c r="K102" s="47"/>
    </row>
    <row r="103" spans="1:11" ht="16.149999999999999" thickBot="1" x14ac:dyDescent="0.55000000000000004">
      <c r="A103" s="50"/>
      <c r="B103" s="58"/>
      <c r="C103" s="58"/>
      <c r="D103" s="58"/>
      <c r="E103" s="59"/>
      <c r="F103" s="51"/>
      <c r="G103" s="51"/>
      <c r="H103" s="51"/>
      <c r="I103" s="51"/>
      <c r="J103" s="51"/>
      <c r="K103" s="52"/>
    </row>
    <row r="104" spans="1:11" ht="15.75" x14ac:dyDescent="0.5">
      <c r="A104" s="17"/>
      <c r="B104" s="61"/>
      <c r="C104" s="61"/>
      <c r="D104" s="61"/>
      <c r="E104" s="43"/>
      <c r="F104" s="21"/>
      <c r="G104" s="17"/>
      <c r="H104" s="17"/>
      <c r="I104" s="17"/>
      <c r="J104" s="17"/>
      <c r="K104" s="15"/>
    </row>
    <row r="105" spans="1:11" ht="15.75" x14ac:dyDescent="0.5">
      <c r="A105" s="17"/>
      <c r="B105" s="61"/>
      <c r="C105" s="61"/>
      <c r="D105" s="246" t="s">
        <v>103</v>
      </c>
      <c r="E105" s="247"/>
      <c r="F105" s="247"/>
      <c r="G105" s="248"/>
      <c r="H105" s="17"/>
      <c r="I105" s="17"/>
      <c r="J105" s="17"/>
      <c r="K105" s="15"/>
    </row>
    <row r="106" spans="1:11" ht="15.75" x14ac:dyDescent="0.5">
      <c r="A106" s="17"/>
      <c r="B106" s="61"/>
      <c r="C106" s="61"/>
      <c r="D106" s="61"/>
      <c r="E106" s="43"/>
      <c r="F106" s="21"/>
      <c r="G106" s="17"/>
      <c r="H106" s="17"/>
      <c r="I106" s="17"/>
      <c r="J106" s="17"/>
      <c r="K106" s="15"/>
    </row>
    <row r="107" spans="1:11" ht="15.75" x14ac:dyDescent="0.5">
      <c r="A107" s="17"/>
      <c r="B107" s="61"/>
      <c r="C107" s="61"/>
      <c r="D107" s="61"/>
      <c r="E107" s="43"/>
      <c r="F107" s="21"/>
      <c r="G107" s="17"/>
      <c r="H107" s="17"/>
      <c r="I107" s="17"/>
      <c r="J107" s="17"/>
      <c r="K107" s="15"/>
    </row>
    <row r="108" spans="1:11" ht="15.75" x14ac:dyDescent="0.5">
      <c r="A108" s="17"/>
      <c r="B108" s="61"/>
      <c r="C108" s="61"/>
      <c r="D108" s="61"/>
      <c r="E108" s="43"/>
      <c r="F108" s="21"/>
      <c r="G108" s="17"/>
      <c r="H108" s="17"/>
      <c r="I108" s="17"/>
      <c r="J108" s="17"/>
      <c r="K108" s="15"/>
    </row>
    <row r="109" spans="1:11" ht="15.75" x14ac:dyDescent="0.5">
      <c r="A109" s="17"/>
      <c r="B109" s="61"/>
      <c r="C109" s="61"/>
      <c r="D109" s="61"/>
      <c r="E109" s="43"/>
      <c r="F109" s="21"/>
      <c r="G109" s="17"/>
      <c r="H109" s="17"/>
      <c r="I109" s="17"/>
      <c r="J109" s="17"/>
      <c r="K109" s="15"/>
    </row>
    <row r="110" spans="1:11" ht="15.75" x14ac:dyDescent="0.5">
      <c r="A110" s="17"/>
      <c r="B110" s="61"/>
      <c r="C110" s="61"/>
      <c r="D110" s="61"/>
      <c r="E110" s="43"/>
      <c r="F110" s="21"/>
      <c r="G110" s="17"/>
      <c r="H110" s="17"/>
      <c r="I110" s="17"/>
      <c r="J110" s="17"/>
      <c r="K110" s="15"/>
    </row>
    <row r="111" spans="1:11" ht="15.75" x14ac:dyDescent="0.5">
      <c r="A111" s="17"/>
      <c r="B111" s="61"/>
      <c r="C111" s="61"/>
      <c r="D111" s="61"/>
      <c r="E111" s="43"/>
      <c r="F111" s="21"/>
      <c r="G111" s="17"/>
      <c r="H111" s="17"/>
      <c r="I111" s="17"/>
      <c r="J111" s="17"/>
      <c r="K111" s="15"/>
    </row>
    <row r="112" spans="1:11" ht="15.75" x14ac:dyDescent="0.5">
      <c r="A112" s="17"/>
      <c r="B112" s="61"/>
      <c r="C112" s="61"/>
      <c r="D112" s="61"/>
      <c r="E112" s="43"/>
      <c r="F112" s="21"/>
      <c r="G112" s="17"/>
      <c r="H112" s="17"/>
      <c r="I112" s="17"/>
      <c r="J112" s="17"/>
      <c r="K112" s="15"/>
    </row>
    <row r="113" spans="1:11" ht="15.75" x14ac:dyDescent="0.5">
      <c r="A113" s="17"/>
      <c r="B113" s="61"/>
      <c r="C113" s="61"/>
      <c r="D113" s="61"/>
      <c r="E113" s="43"/>
      <c r="F113" s="21"/>
      <c r="G113" s="17"/>
      <c r="H113" s="17"/>
      <c r="I113" s="17"/>
      <c r="J113" s="17"/>
      <c r="K113" s="15"/>
    </row>
    <row r="114" spans="1:11" ht="15.75" x14ac:dyDescent="0.5">
      <c r="A114" s="17"/>
      <c r="B114" s="61"/>
      <c r="C114" s="61"/>
      <c r="D114" s="61"/>
      <c r="E114" s="43"/>
      <c r="F114" s="21"/>
      <c r="G114" s="17"/>
      <c r="H114" s="17"/>
      <c r="I114" s="17"/>
      <c r="J114" s="17"/>
      <c r="K114" s="15"/>
    </row>
    <row r="115" spans="1:11" ht="15.75" x14ac:dyDescent="0.5">
      <c r="A115" s="17"/>
      <c r="B115" s="61"/>
      <c r="C115" s="61"/>
      <c r="D115" s="61"/>
      <c r="E115" s="43"/>
      <c r="F115" s="21"/>
      <c r="G115" s="17"/>
      <c r="H115" s="17"/>
      <c r="I115" s="17"/>
      <c r="J115" s="17"/>
      <c r="K115" s="15"/>
    </row>
    <row r="116" spans="1:11" ht="15.75" x14ac:dyDescent="0.5">
      <c r="A116" s="17"/>
      <c r="B116" s="61"/>
      <c r="C116" s="61"/>
      <c r="D116" s="61"/>
      <c r="E116" s="43"/>
      <c r="F116" s="21"/>
      <c r="G116" s="17"/>
      <c r="H116" s="17"/>
      <c r="I116" s="17"/>
      <c r="J116" s="17"/>
      <c r="K116" s="15"/>
    </row>
    <row r="117" spans="1:11" ht="15.75" x14ac:dyDescent="0.5">
      <c r="A117" s="17"/>
      <c r="B117" s="61"/>
      <c r="C117" s="61"/>
      <c r="D117" s="61"/>
      <c r="E117" s="43"/>
      <c r="F117" s="21"/>
      <c r="G117" s="17"/>
      <c r="H117" s="17"/>
      <c r="I117" s="17"/>
      <c r="J117" s="17"/>
      <c r="K117" s="15"/>
    </row>
    <row r="118" spans="1:11" ht="15.75" x14ac:dyDescent="0.5">
      <c r="A118" s="17"/>
      <c r="B118" s="61"/>
      <c r="C118" s="61"/>
      <c r="D118" s="61"/>
      <c r="E118" s="43"/>
      <c r="F118" s="21"/>
      <c r="G118" s="17"/>
      <c r="H118" s="17"/>
      <c r="I118" s="17"/>
      <c r="J118" s="17"/>
      <c r="K118" s="15"/>
    </row>
    <row r="119" spans="1:11" ht="15.75" x14ac:dyDescent="0.5">
      <c r="A119" s="17"/>
      <c r="B119" s="61"/>
      <c r="C119" s="61"/>
      <c r="D119" s="61"/>
      <c r="E119" s="43"/>
      <c r="F119" s="21"/>
      <c r="G119" s="17"/>
      <c r="H119" s="17"/>
      <c r="I119" s="17"/>
      <c r="J119" s="17"/>
      <c r="K119" s="15"/>
    </row>
    <row r="120" spans="1:11" ht="15.75" x14ac:dyDescent="0.5">
      <c r="A120" s="17"/>
      <c r="B120" s="61"/>
      <c r="C120" s="61"/>
      <c r="D120" s="61"/>
      <c r="E120" s="43"/>
      <c r="F120" s="21"/>
      <c r="G120" s="17"/>
      <c r="H120" s="17"/>
      <c r="I120" s="17"/>
      <c r="J120" s="17"/>
      <c r="K120" s="15"/>
    </row>
    <row r="121" spans="1:11" ht="15.75" x14ac:dyDescent="0.5">
      <c r="A121" s="17"/>
      <c r="B121" s="61"/>
      <c r="C121" s="61"/>
      <c r="D121" s="61"/>
      <c r="E121" s="43"/>
      <c r="F121" s="21"/>
      <c r="G121" s="17"/>
      <c r="H121" s="17"/>
      <c r="I121" s="17"/>
      <c r="J121" s="17"/>
      <c r="K121" s="15"/>
    </row>
    <row r="122" spans="1:11" ht="15.75" x14ac:dyDescent="0.5">
      <c r="A122" s="17"/>
      <c r="B122" s="61"/>
      <c r="C122" s="61"/>
      <c r="D122" s="61"/>
      <c r="E122" s="43"/>
      <c r="F122" s="21"/>
      <c r="G122" s="17"/>
      <c r="H122" s="17"/>
      <c r="I122" s="17"/>
      <c r="J122" s="17"/>
      <c r="K122" s="15"/>
    </row>
    <row r="123" spans="1:11" ht="15.75" x14ac:dyDescent="0.5">
      <c r="A123" s="17"/>
      <c r="B123" s="61"/>
      <c r="C123" s="61"/>
      <c r="D123" s="61"/>
      <c r="E123" s="43"/>
      <c r="F123" s="21"/>
      <c r="G123" s="17"/>
      <c r="H123" s="17"/>
      <c r="I123" s="17"/>
      <c r="J123" s="17"/>
      <c r="K123" s="15"/>
    </row>
    <row r="124" spans="1:11" ht="15.75" x14ac:dyDescent="0.5">
      <c r="A124" s="17"/>
      <c r="B124" s="61"/>
      <c r="C124" s="61"/>
      <c r="D124" s="61"/>
      <c r="E124" s="43"/>
      <c r="F124" s="21"/>
      <c r="G124" s="17"/>
      <c r="H124" s="17"/>
      <c r="I124" s="17"/>
      <c r="J124" s="17"/>
      <c r="K124" s="15"/>
    </row>
    <row r="125" spans="1:11" ht="15.75" x14ac:dyDescent="0.5">
      <c r="A125" s="17"/>
      <c r="B125" s="61"/>
      <c r="C125" s="61"/>
      <c r="D125" s="61"/>
      <c r="E125" s="43"/>
      <c r="F125" s="21"/>
      <c r="G125" s="17"/>
      <c r="H125" s="17"/>
      <c r="I125" s="17"/>
      <c r="J125" s="17"/>
      <c r="K125" s="15"/>
    </row>
    <row r="126" spans="1:11" ht="15.75" x14ac:dyDescent="0.5">
      <c r="A126" s="17"/>
      <c r="B126" s="61"/>
      <c r="C126" s="61"/>
      <c r="D126" s="61"/>
      <c r="E126" s="43"/>
      <c r="F126" s="21"/>
      <c r="G126" s="17"/>
      <c r="H126" s="17"/>
      <c r="I126" s="17"/>
      <c r="J126" s="17"/>
      <c r="K126" s="15"/>
    </row>
    <row r="127" spans="1:11" ht="15.75" x14ac:dyDescent="0.5">
      <c r="A127" s="17"/>
      <c r="B127" s="61"/>
      <c r="C127" s="61"/>
      <c r="D127" s="61"/>
      <c r="E127" s="43"/>
      <c r="F127" s="21"/>
      <c r="G127" s="17"/>
      <c r="H127" s="17"/>
      <c r="I127" s="17"/>
      <c r="J127" s="17"/>
      <c r="K127" s="15"/>
    </row>
    <row r="128" spans="1:11" ht="15.75" x14ac:dyDescent="0.5">
      <c r="A128" s="17"/>
      <c r="B128" s="61"/>
      <c r="C128" s="61"/>
      <c r="D128" s="61"/>
      <c r="E128" s="43"/>
      <c r="F128" s="21"/>
      <c r="G128" s="17"/>
      <c r="H128" s="17"/>
      <c r="I128" s="17"/>
      <c r="J128" s="17"/>
      <c r="K128" s="15"/>
    </row>
    <row r="129" spans="1:11" ht="15.75" x14ac:dyDescent="0.5">
      <c r="A129" s="17"/>
      <c r="B129" s="61"/>
      <c r="C129" s="61"/>
      <c r="D129" s="61"/>
      <c r="E129" s="43"/>
      <c r="F129" s="21"/>
      <c r="G129" s="17"/>
      <c r="H129" s="17"/>
      <c r="I129" s="17"/>
      <c r="J129" s="17"/>
      <c r="K129" s="15"/>
    </row>
    <row r="130" spans="1:11" ht="15.75" x14ac:dyDescent="0.5">
      <c r="A130" s="17"/>
      <c r="B130" s="61"/>
      <c r="C130" s="61"/>
      <c r="D130" s="61"/>
      <c r="E130" s="43"/>
      <c r="F130" s="21"/>
      <c r="G130" s="17"/>
      <c r="H130" s="17"/>
      <c r="I130" s="17"/>
      <c r="J130" s="17"/>
      <c r="K130" s="15"/>
    </row>
    <row r="131" spans="1:11" ht="15.75" x14ac:dyDescent="0.5">
      <c r="A131" s="17"/>
      <c r="B131" s="61"/>
      <c r="C131" s="61"/>
      <c r="D131" s="61"/>
      <c r="E131" s="43"/>
      <c r="F131" s="21"/>
      <c r="G131" s="17"/>
      <c r="H131" s="17"/>
      <c r="I131" s="17"/>
      <c r="J131" s="17"/>
      <c r="K131" s="15"/>
    </row>
    <row r="132" spans="1:11" ht="15.75" x14ac:dyDescent="0.5">
      <c r="A132" s="17"/>
      <c r="B132" s="61"/>
      <c r="C132" s="61"/>
      <c r="D132" s="61"/>
      <c r="E132" s="43"/>
      <c r="F132" s="21"/>
      <c r="G132" s="17"/>
      <c r="H132" s="17"/>
      <c r="I132" s="17"/>
      <c r="J132" s="17"/>
      <c r="K132" s="15"/>
    </row>
    <row r="133" spans="1:11" ht="15.75" x14ac:dyDescent="0.5">
      <c r="A133" s="17"/>
      <c r="B133" s="61"/>
      <c r="C133" s="61"/>
      <c r="D133" s="61"/>
      <c r="E133" s="43"/>
      <c r="F133" s="21"/>
      <c r="G133" s="17"/>
      <c r="H133" s="17"/>
      <c r="I133" s="17"/>
      <c r="J133" s="17"/>
      <c r="K133" s="15"/>
    </row>
    <row r="134" spans="1:11" ht="15.75" x14ac:dyDescent="0.5">
      <c r="A134" s="17"/>
      <c r="B134" s="61"/>
      <c r="C134" s="61"/>
      <c r="D134" s="61"/>
      <c r="E134" s="43"/>
      <c r="F134" s="21"/>
      <c r="G134" s="17"/>
      <c r="H134" s="17"/>
      <c r="I134" s="17"/>
      <c r="J134" s="17"/>
      <c r="K134" s="15"/>
    </row>
    <row r="135" spans="1:11" ht="15.75" x14ac:dyDescent="0.5">
      <c r="A135" s="17"/>
      <c r="B135" s="61"/>
      <c r="C135" s="61"/>
      <c r="D135" s="61"/>
      <c r="E135" s="43"/>
      <c r="F135" s="21"/>
      <c r="G135" s="17"/>
      <c r="H135" s="17"/>
      <c r="I135" s="17"/>
      <c r="J135" s="17"/>
      <c r="K135" s="15"/>
    </row>
    <row r="136" spans="1:11" ht="15.75" x14ac:dyDescent="0.5">
      <c r="A136" s="17"/>
      <c r="B136" s="61"/>
      <c r="C136" s="61"/>
      <c r="D136" s="61"/>
      <c r="E136" s="43"/>
      <c r="F136" s="21"/>
      <c r="G136" s="17"/>
      <c r="H136" s="17"/>
      <c r="I136" s="17"/>
      <c r="J136" s="17"/>
      <c r="K136" s="15"/>
    </row>
    <row r="137" spans="1:11" x14ac:dyDescent="0.45">
      <c r="A137" s="15"/>
      <c r="B137" s="15"/>
      <c r="C137" s="15"/>
      <c r="D137" s="15"/>
      <c r="E137" s="15"/>
      <c r="F137" s="15"/>
      <c r="G137" s="85" t="s">
        <v>3</v>
      </c>
      <c r="H137" s="237">
        <f>H1</f>
        <v>0</v>
      </c>
      <c r="I137" s="237"/>
      <c r="J137" s="237" t="e">
        <f>#REF!</f>
        <v>#REF!</v>
      </c>
      <c r="K137" s="237"/>
    </row>
    <row r="138" spans="1:11" x14ac:dyDescent="0.45">
      <c r="A138" s="15"/>
      <c r="B138" s="15"/>
      <c r="C138" s="15"/>
      <c r="D138" s="15"/>
      <c r="E138" s="15"/>
      <c r="F138" s="15"/>
      <c r="G138" s="85" t="s">
        <v>5</v>
      </c>
      <c r="H138" s="238">
        <f>H2</f>
        <v>0</v>
      </c>
      <c r="I138" s="238"/>
      <c r="J138" s="238" t="e">
        <f>#REF!</f>
        <v>#REF!</v>
      </c>
      <c r="K138" s="238"/>
    </row>
    <row r="139" spans="1:11" x14ac:dyDescent="0.45">
      <c r="A139" s="15"/>
      <c r="B139" s="15"/>
      <c r="C139" s="15"/>
      <c r="D139" s="15"/>
      <c r="E139" s="15"/>
      <c r="F139" s="15"/>
      <c r="G139" s="85" t="s">
        <v>6</v>
      </c>
      <c r="H139" s="238">
        <f>H3</f>
        <v>0</v>
      </c>
      <c r="I139" s="238"/>
      <c r="J139" s="238" t="e">
        <f>#REF!</f>
        <v>#REF!</v>
      </c>
      <c r="K139" s="238"/>
    </row>
    <row r="140" spans="1:11" x14ac:dyDescent="0.45">
      <c r="A140" s="15"/>
      <c r="B140" s="15"/>
      <c r="C140" s="15"/>
      <c r="D140" s="15"/>
      <c r="E140" s="15"/>
      <c r="F140" s="15"/>
      <c r="G140" s="85" t="s">
        <v>7</v>
      </c>
      <c r="H140" s="238">
        <f>H4</f>
        <v>0</v>
      </c>
      <c r="I140" s="238"/>
      <c r="J140" s="238" t="e">
        <f>#REF!</f>
        <v>#REF!</v>
      </c>
      <c r="K140" s="238"/>
    </row>
    <row r="141" spans="1:11" x14ac:dyDescent="0.45">
      <c r="A141" s="15"/>
      <c r="B141" s="15"/>
      <c r="C141" s="15"/>
      <c r="D141" s="15"/>
      <c r="E141" s="15"/>
      <c r="F141" s="15"/>
      <c r="G141" s="15"/>
      <c r="H141" s="2"/>
      <c r="I141" s="2"/>
      <c r="J141" s="15"/>
      <c r="K141" s="15"/>
    </row>
    <row r="142" spans="1:11" ht="15.75" x14ac:dyDescent="0.5">
      <c r="A142" s="17"/>
      <c r="B142" s="42"/>
      <c r="C142" s="42"/>
      <c r="D142" s="42"/>
      <c r="E142" s="43"/>
      <c r="F142" s="21"/>
      <c r="G142" s="17"/>
      <c r="H142" s="17"/>
      <c r="I142" s="17"/>
      <c r="J142" s="17"/>
      <c r="K142" s="15"/>
    </row>
    <row r="143" spans="1:11" ht="15.75" x14ac:dyDescent="0.5">
      <c r="A143" s="17"/>
      <c r="B143" s="42"/>
      <c r="C143" s="249" t="s">
        <v>74</v>
      </c>
      <c r="D143" s="249"/>
      <c r="E143" s="249"/>
      <c r="F143" s="249"/>
      <c r="G143" s="249"/>
      <c r="H143" s="249"/>
      <c r="J143" s="17"/>
      <c r="K143" s="15"/>
    </row>
    <row r="144" spans="1:11" ht="15.75" x14ac:dyDescent="0.5">
      <c r="A144" s="17"/>
      <c r="B144" s="42"/>
      <c r="C144" s="251" t="s">
        <v>75</v>
      </c>
      <c r="D144" s="251"/>
      <c r="E144" s="250" t="str">
        <f>'Fire Resistance '!E109</f>
        <v>Portland Cement-Sand Plaster on Metal Lath</v>
      </c>
      <c r="F144" s="250"/>
      <c r="G144" s="250"/>
      <c r="H144" s="250"/>
      <c r="I144" s="17"/>
      <c r="J144" s="17"/>
      <c r="K144" s="15"/>
    </row>
    <row r="145" spans="1:11" ht="15.75" x14ac:dyDescent="0.5">
      <c r="A145" s="17"/>
      <c r="B145" s="49"/>
      <c r="C145" s="251"/>
      <c r="D145" s="251"/>
      <c r="E145" s="250" t="str">
        <f>'Fire Resistance '!E110</f>
        <v>3/8 in.</v>
      </c>
      <c r="F145" s="250"/>
      <c r="G145" s="250"/>
      <c r="H145" s="250"/>
      <c r="I145" s="17"/>
      <c r="J145" s="17"/>
      <c r="K145" s="15"/>
    </row>
    <row r="146" spans="1:11" ht="15.75" x14ac:dyDescent="0.5">
      <c r="A146" s="17"/>
      <c r="B146" s="42"/>
      <c r="C146" s="251" t="s">
        <v>76</v>
      </c>
      <c r="D146" s="251"/>
      <c r="E146" s="250" t="str">
        <f>'Fire Resistance '!E90</f>
        <v>Portland Cement Sand Plaster</v>
      </c>
      <c r="F146" s="250"/>
      <c r="G146" s="250"/>
      <c r="H146" s="250"/>
      <c r="I146" s="17"/>
      <c r="J146" s="17"/>
      <c r="K146" s="15"/>
    </row>
    <row r="147" spans="1:11" ht="15.75" x14ac:dyDescent="0.5">
      <c r="A147" s="17"/>
      <c r="B147" s="42"/>
      <c r="C147" s="251"/>
      <c r="D147" s="251"/>
      <c r="E147" s="250" t="str">
        <f>'Fire Resistance '!E91</f>
        <v>Siliceous_Calcareous_Limestone_Cinders_Air Cooled Blast Furnace Slag</v>
      </c>
      <c r="F147" s="250"/>
      <c r="G147" s="250"/>
      <c r="H147" s="250"/>
      <c r="I147" s="17"/>
      <c r="J147" s="17"/>
      <c r="K147" s="15"/>
    </row>
    <row r="148" spans="1:11" ht="15.6" customHeight="1" x14ac:dyDescent="0.5">
      <c r="A148" s="17"/>
      <c r="B148" s="61"/>
      <c r="C148" s="61"/>
      <c r="D148" s="61"/>
      <c r="I148" s="17"/>
      <c r="J148" s="17"/>
      <c r="K148" s="15"/>
    </row>
    <row r="149" spans="1:11" ht="16.149999999999999" thickBot="1" x14ac:dyDescent="0.55000000000000004">
      <c r="A149" s="17"/>
      <c r="B149" s="61"/>
      <c r="C149" s="61"/>
      <c r="D149" s="246" t="s">
        <v>103</v>
      </c>
      <c r="E149" s="247"/>
      <c r="F149" s="247"/>
      <c r="G149" s="248"/>
      <c r="I149" s="17"/>
      <c r="J149" s="17"/>
      <c r="K149" s="15"/>
    </row>
    <row r="150" spans="1:11" ht="16.149999999999999" thickBot="1" x14ac:dyDescent="0.55000000000000004">
      <c r="A150" s="239" t="s">
        <v>87</v>
      </c>
      <c r="B150" s="240"/>
      <c r="C150" s="240"/>
      <c r="D150" s="240"/>
      <c r="E150" s="240"/>
      <c r="F150" s="240"/>
      <c r="G150" s="240"/>
      <c r="H150" s="240"/>
      <c r="I150" s="240"/>
      <c r="J150" s="240"/>
      <c r="K150" s="241"/>
    </row>
    <row r="151" spans="1:11" s="56" customFormat="1" ht="15.75" x14ac:dyDescent="0.5">
      <c r="A151" s="93"/>
      <c r="B151" s="94"/>
      <c r="C151" s="94"/>
      <c r="D151" s="94"/>
      <c r="E151" s="94"/>
      <c r="F151" s="95"/>
      <c r="G151" s="95"/>
      <c r="H151" s="95"/>
      <c r="I151" s="95"/>
      <c r="J151" s="95"/>
      <c r="K151" s="96"/>
    </row>
    <row r="152" spans="1:11" ht="15.75" x14ac:dyDescent="0.5">
      <c r="A152" s="48"/>
      <c r="B152" s="105" t="s">
        <v>13</v>
      </c>
      <c r="C152" s="81"/>
      <c r="D152" s="21"/>
      <c r="E152" s="21"/>
      <c r="F152" s="21"/>
      <c r="G152" s="21"/>
      <c r="H152" s="21"/>
      <c r="I152" s="21"/>
      <c r="J152" s="21"/>
      <c r="K152" s="47"/>
    </row>
    <row r="153" spans="1:11" ht="15.75" x14ac:dyDescent="0.5">
      <c r="A153" s="48"/>
      <c r="B153" s="242" t="str">
        <f>IF('Fire Resistance '!E87="CMU Single Wythe with a finish on both sides","","Non-Fire Side Finish Factor")</f>
        <v/>
      </c>
      <c r="C153" s="242"/>
      <c r="D153" s="64"/>
      <c r="E153" s="28" t="str">
        <f>IF('Fire Resistance '!E87="CMU Single Wythe with a finish on both sides","",IF('Fire Resistance '!E90="Gypsum Vermiculite or Perlite Plaster",'Fire Resistance Loop Tables'!D20,IF('Fire Resistance '!E92="Yes",'Fire Resistance Loop Tables'!D20,INDEX('Fire Resistance Loop Tables'!$C$5:$D$19,MATCH('Fire Resistance '!$E$90&amp;'Fire Resistance '!$E$101,'Fire Resistance Loop Tables'!$A$5:$A$19&amp;'Fire Resistance Loop Tables'!B5:B19,0),MATCH('Fire Resistance '!$E$91,'Fire Resistance Loop Tables'!$C$4:$D$4,0)))))</f>
        <v/>
      </c>
      <c r="F153" s="21"/>
      <c r="G153" s="21"/>
      <c r="H153" s="21"/>
      <c r="I153" s="21"/>
      <c r="J153" s="21"/>
      <c r="K153" s="47"/>
    </row>
    <row r="154" spans="1:11" ht="15.75" x14ac:dyDescent="0.5">
      <c r="A154" s="48"/>
      <c r="B154" s="77"/>
      <c r="C154" s="77"/>
      <c r="D154" s="64"/>
      <c r="E154" s="64"/>
      <c r="F154" s="21"/>
      <c r="G154" s="21"/>
      <c r="H154" s="21"/>
      <c r="I154" s="21"/>
      <c r="J154" s="21"/>
      <c r="K154" s="47"/>
    </row>
    <row r="155" spans="1:11" ht="15.75" x14ac:dyDescent="0.5">
      <c r="A155" s="48"/>
      <c r="B155" s="242" t="str">
        <f>IF('Fire Resistance '!E87="CMU Single Wythe with a finish on both sides","","Non-Fire Side Finish #1 Equivalent Thickness")</f>
        <v/>
      </c>
      <c r="C155" s="242"/>
      <c r="D155" s="97"/>
      <c r="E155" s="28" t="str">
        <f>IF('Fire Resistance '!E87="CMU Single Wythe with a finish on both sides","",IF(OR('Fire Resistance '!E90="Gypsum Vermiculite or Perlite Plaster",'Fire Resistance '!E92="Yes"),'Fire Resistance '!E102*$E$153,$E$153*'Fire Resistance '!F101))</f>
        <v/>
      </c>
      <c r="F155" s="21" t="str">
        <f>IF('Fire Resistance '!E87="CMU Single Wythe with a finish on both sides","","in.")</f>
        <v/>
      </c>
      <c r="G155" s="21"/>
      <c r="H155" s="21"/>
      <c r="I155" s="21"/>
      <c r="J155" s="21"/>
      <c r="K155" s="47"/>
    </row>
    <row r="156" spans="1:11" ht="15.75" x14ac:dyDescent="0.5">
      <c r="A156" s="48"/>
      <c r="B156" s="77"/>
      <c r="C156" s="77"/>
      <c r="D156" s="64"/>
      <c r="E156" s="64"/>
      <c r="F156" s="64"/>
      <c r="G156" s="21"/>
      <c r="H156" s="21"/>
      <c r="I156" s="21"/>
      <c r="J156" s="21"/>
      <c r="K156" s="47"/>
    </row>
    <row r="157" spans="1:11" ht="15.75" x14ac:dyDescent="0.5">
      <c r="A157" s="48"/>
      <c r="B157" s="242" t="str">
        <f>IF('Fire Resistance '!E87="CMU Single Wythe with a finish on both sides","","Equivalent Thickness of Unit")</f>
        <v/>
      </c>
      <c r="C157" s="242"/>
      <c r="D157" s="61"/>
      <c r="E157" s="28" t="str">
        <f>IF('Fire Resistance '!E87="CMU Single Wythe with a finish on both sides","",E15)</f>
        <v/>
      </c>
      <c r="F157" s="21" t="str">
        <f>IF('Fire Resistance '!E87="CMU Single Wythe with a finish on both sides","","in.")</f>
        <v/>
      </c>
      <c r="G157" s="21"/>
      <c r="H157" s="21"/>
      <c r="I157" s="21"/>
      <c r="J157" s="21"/>
      <c r="K157" s="47"/>
    </row>
    <row r="158" spans="1:11" ht="15.75" x14ac:dyDescent="0.5">
      <c r="A158" s="48"/>
      <c r="B158" s="84"/>
      <c r="C158" s="84"/>
      <c r="D158" s="61"/>
      <c r="E158" s="28"/>
      <c r="F158" s="21"/>
      <c r="G158" s="21"/>
      <c r="H158" s="21"/>
      <c r="I158" s="21"/>
      <c r="J158" s="21"/>
      <c r="K158" s="47"/>
    </row>
    <row r="159" spans="1:11" ht="15.75" x14ac:dyDescent="0.5">
      <c r="A159" s="48"/>
      <c r="B159" s="242" t="str">
        <f>IF('Fire Resistance '!E87="CMU Single Wythe with a finish on both sides","","Total Equivalent Thickness")</f>
        <v/>
      </c>
      <c r="C159" s="242"/>
      <c r="D159" s="61"/>
      <c r="E159" s="28" t="str">
        <f>IF('Fire Resistance '!E87="CMU Single Wythe with a finish on both sides","",SUM(E155,E157))</f>
        <v/>
      </c>
      <c r="F159" s="21" t="str">
        <f>IF('Fire Resistance '!E87="CMU Single Wythe with a finish on both sides","","in.")</f>
        <v/>
      </c>
      <c r="G159" s="21"/>
      <c r="H159" s="21"/>
      <c r="I159" s="21"/>
      <c r="J159" s="21"/>
      <c r="K159" s="47"/>
    </row>
    <row r="160" spans="1:11" ht="15.75" x14ac:dyDescent="0.5">
      <c r="A160" s="48"/>
      <c r="B160" s="98"/>
      <c r="C160" s="98"/>
      <c r="D160" s="61"/>
      <c r="E160" s="27"/>
      <c r="F160" s="21"/>
      <c r="G160" s="21"/>
      <c r="H160" s="21"/>
      <c r="I160" s="21"/>
      <c r="J160" s="21"/>
      <c r="K160" s="47"/>
    </row>
    <row r="161" spans="1:11" ht="15.75" hidden="1" x14ac:dyDescent="0.5">
      <c r="A161" s="48"/>
      <c r="B161" s="98"/>
      <c r="C161" s="84" t="str">
        <f>$C$16</f>
        <v>Max/Min Equivalent Thickness Check</v>
      </c>
      <c r="D161" s="61" t="s">
        <v>12</v>
      </c>
      <c r="E161" s="27"/>
      <c r="F161" s="21"/>
      <c r="G161" s="21"/>
      <c r="H161" s="21"/>
      <c r="I161" s="21"/>
      <c r="J161" s="21"/>
      <c r="K161" s="47"/>
    </row>
    <row r="162" spans="1:11" ht="15.75" hidden="1" x14ac:dyDescent="0.5">
      <c r="A162" s="48" t="str">
        <f>'Fire Resistance '!$A$18</f>
        <v>Calcareous or Siliceous Gravel</v>
      </c>
      <c r="B162" s="98"/>
      <c r="C162" s="99">
        <f>IF($E$159&gt;'Fire Resistance Lookup Graph'!$B3,'Fire Resistance Lookup Graph'!$B3,IF($E$159&lt;'Fire Resistance Lookup Graph'!$P3,'Fire Resistance Lookup Graph'!$P3,$E$159))</f>
        <v>6.2</v>
      </c>
      <c r="D162" s="100">
        <f>0.0765*C162^2+0.1955*C162-0.1732</f>
        <v>3.9795600000000007</v>
      </c>
      <c r="E162" s="27"/>
      <c r="F162" s="21"/>
      <c r="G162" s="21"/>
      <c r="H162" s="21"/>
      <c r="I162" s="21"/>
      <c r="J162" s="21"/>
      <c r="K162" s="47"/>
    </row>
    <row r="163" spans="1:11" ht="15.75" hidden="1" x14ac:dyDescent="0.5">
      <c r="A163" s="48" t="str">
        <f>'Fire Resistance '!$A$19</f>
        <v>Limestone, Cinders or Unexpanded Slag</v>
      </c>
      <c r="B163" s="98"/>
      <c r="C163" s="99">
        <f>IF($E$159&gt;'Fire Resistance Lookup Graph'!$B4,'Fire Resistance Lookup Graph'!$B4,IF($E$159&lt;'Fire Resistance Lookup Graph'!$P4,'Fire Resistance Lookup Graph'!$P4,$E$159))</f>
        <v>5.9</v>
      </c>
      <c r="D163" s="100">
        <f>0.0839*C163^2+0.219*C163-0.2133</f>
        <v>3.9993590000000006</v>
      </c>
      <c r="E163" s="27"/>
      <c r="F163" s="21"/>
      <c r="G163" s="21"/>
      <c r="H163" s="21"/>
      <c r="I163" s="21"/>
      <c r="J163" s="21"/>
      <c r="K163" s="47"/>
    </row>
    <row r="164" spans="1:11" ht="15.75" hidden="1" x14ac:dyDescent="0.5">
      <c r="A164" s="48" t="str">
        <f>'Fire Resistance '!$A$20</f>
        <v>Expanded clay, shale, or slate</v>
      </c>
      <c r="B164" s="98"/>
      <c r="C164" s="99">
        <f>IF($E$159&gt;'Fire Resistance Lookup Graph'!$B5,'Fire Resistance Lookup Graph'!$B5,IF($E$159&lt;'Fire Resistance Lookup Graph'!$P5,'Fire Resistance Lookup Graph'!$P5,$E$159))</f>
        <v>5.0999999999999996</v>
      </c>
      <c r="D164" s="100">
        <f>0.1668*C164^2-0.0765*C164+0.0839</f>
        <v>4.0322180000000003</v>
      </c>
      <c r="E164" s="27"/>
      <c r="F164" s="21"/>
      <c r="G164" s="21"/>
      <c r="H164" s="21"/>
      <c r="I164" s="21"/>
      <c r="J164" s="21"/>
      <c r="K164" s="47"/>
    </row>
    <row r="165" spans="1:11" ht="15.75" hidden="1" x14ac:dyDescent="0.5">
      <c r="A165" s="48" t="str">
        <f>'Fire Resistance '!$A$21</f>
        <v>Expanded slag or pumice</v>
      </c>
      <c r="B165" s="98"/>
      <c r="C165" s="99">
        <f>IF($E$159&gt;'Fire Resistance Lookup Graph'!$B6,'Fire Resistance Lookup Graph'!$B6,IF($E$159&lt;'Fire Resistance Lookup Graph'!$P6,'Fire Resistance Lookup Graph'!$P6,$E$159))</f>
        <v>4.7</v>
      </c>
      <c r="D165" s="100">
        <f>0.1389*C165^2+0.2342*C165-0.1647</f>
        <v>4.0043410000000002</v>
      </c>
      <c r="E165" s="27"/>
      <c r="F165" s="21"/>
      <c r="G165" s="21"/>
      <c r="H165" s="21"/>
      <c r="I165" s="21"/>
      <c r="J165" s="21"/>
      <c r="K165" s="47"/>
    </row>
    <row r="166" spans="1:11" ht="15.75" x14ac:dyDescent="0.5">
      <c r="A166" s="48"/>
      <c r="B166" s="242" t="str">
        <f>IF('Fire Resistance '!E87="CMU Single Wythe with a finish on both sides","","Total Non-Fire Side Fire Rating of Unit")</f>
        <v/>
      </c>
      <c r="C166" s="242"/>
      <c r="D166" s="61"/>
      <c r="E166" s="41" t="str">
        <f>IF('Fire Resistance '!E87="CMU Single Wythe with finish on one (1) side",IF(('Fire Resistance '!E18*D162+'Fire Resistance '!E19*D163+'Fire Resistance '!E20*D164+'Fire Resistance '!E21*D165)/100&gt;4,4,SUM('Fire Resistance '!E18*D162+'Fire Resistance '!E19*D163+'Fire Resistance '!E20*D164+'Fire Resistance '!E21*D165)/100),"")</f>
        <v/>
      </c>
      <c r="F166" s="21" t="str">
        <f>IF('Fire Resistance '!E87="CMU Single Wythe with a finish on both sides","","hours")</f>
        <v/>
      </c>
      <c r="G166" s="21"/>
      <c r="H166" s="21"/>
      <c r="I166" s="21"/>
      <c r="J166" s="21"/>
      <c r="K166" s="47"/>
    </row>
    <row r="167" spans="1:11" ht="15.75" x14ac:dyDescent="0.5">
      <c r="A167" s="48"/>
      <c r="B167" s="84"/>
      <c r="C167" s="84"/>
      <c r="D167" s="61"/>
      <c r="E167" s="24"/>
      <c r="F167" s="21"/>
      <c r="G167" s="21"/>
      <c r="H167" s="21"/>
      <c r="I167" s="21"/>
      <c r="J167" s="21"/>
      <c r="K167" s="47"/>
    </row>
    <row r="168" spans="1:11" ht="15.75" x14ac:dyDescent="0.5">
      <c r="A168" s="48"/>
      <c r="B168" s="105" t="s">
        <v>18</v>
      </c>
      <c r="C168" s="81"/>
      <c r="D168" s="21"/>
      <c r="E168" s="21"/>
      <c r="F168" s="21"/>
      <c r="G168" s="21"/>
      <c r="H168" s="21"/>
      <c r="I168" s="21"/>
      <c r="J168" s="21"/>
      <c r="K168" s="47"/>
    </row>
    <row r="169" spans="1:11" ht="15.75" x14ac:dyDescent="0.5">
      <c r="A169" s="48"/>
      <c r="B169" s="242" t="str">
        <f>IF('Fire Resistance '!E87="CMU Single Wythe with a finish on both sides","","Fire Side Finish #1 Fire Rating")</f>
        <v/>
      </c>
      <c r="C169" s="242"/>
      <c r="D169" s="21"/>
      <c r="E169" s="28" t="str">
        <f>IF('Fire Resistance '!E87="CMU Single Wythe with a finish on both sides","",IF('Fire Resistance '!E90="Gypsum Vermiculite or Perlite Plaster",0,INDEX('Fire Resistance Loop Tables'!C23:C40,MATCH('Fire Resistance '!$E$109&amp;'Fire Resistance '!E110,'Fire Resistance Loop Tables'!A23:A40&amp;'Fire Resistance Loop Tables'!B23:B40,0))))</f>
        <v/>
      </c>
      <c r="F169" s="68" t="str">
        <f>IF('Fire Resistance '!E87="CMU Single Wythe with a finish on both sides","","hours")</f>
        <v/>
      </c>
      <c r="G169" s="21"/>
      <c r="H169" s="21"/>
      <c r="I169" s="21"/>
      <c r="J169" s="21"/>
      <c r="K169" s="47"/>
    </row>
    <row r="170" spans="1:11" ht="15.75" x14ac:dyDescent="0.5">
      <c r="A170" s="48"/>
      <c r="B170" s="77"/>
      <c r="C170" s="77"/>
      <c r="D170" s="64"/>
      <c r="E170" s="64"/>
      <c r="F170" s="64"/>
      <c r="G170" s="21"/>
      <c r="H170" s="21"/>
      <c r="I170" s="21"/>
      <c r="J170" s="21"/>
      <c r="K170" s="47"/>
    </row>
    <row r="171" spans="1:11" ht="15.75" x14ac:dyDescent="0.5">
      <c r="A171" s="48"/>
      <c r="B171" s="242" t="str">
        <f>IF('Fire Resistance '!E87="CMU Single Wythe with a finish on both sides","","Fire Rating of Unit")</f>
        <v/>
      </c>
      <c r="C171" s="242"/>
      <c r="D171" s="61"/>
      <c r="E171" s="28" t="str">
        <f>IF('Fire Resistance '!E87="CMU Single Wythe with a finish on both sides","",IF('Fire Resistance '!E90="Gypsum Vermiculite or Perlite Plaster",E81,IF('Fire Resistance '!E110="Direct Applied","Accounted for in Fire Side Finish #1 Fire Rating",E81)))</f>
        <v/>
      </c>
      <c r="F171" s="21" t="str">
        <f>IF(OR(E171="Accounted for in Fire Side Finish #1 Fire Rating",'Fire Resistance '!E87="CMU Single Wythe with a finish on both sides"),"","hours")</f>
        <v/>
      </c>
      <c r="G171" s="21"/>
      <c r="H171" s="21"/>
      <c r="I171" s="21"/>
      <c r="J171" s="21"/>
      <c r="K171" s="47"/>
    </row>
    <row r="172" spans="1:11" ht="15.75" x14ac:dyDescent="0.5">
      <c r="A172" s="48"/>
      <c r="B172" s="98"/>
      <c r="C172" s="98"/>
      <c r="D172" s="100"/>
      <c r="E172" s="27"/>
      <c r="F172" s="97"/>
      <c r="G172" s="21"/>
      <c r="H172" s="21"/>
      <c r="I172" s="21"/>
      <c r="J172" s="21"/>
      <c r="K172" s="47"/>
    </row>
    <row r="173" spans="1:11" ht="15.75" x14ac:dyDescent="0.5">
      <c r="A173" s="48"/>
      <c r="B173" s="242" t="str">
        <f>IF('Fire Resistance '!E87="CMU Single Wythe with a finish on both sides","","Total Fire Side Fire Rating of Unit")</f>
        <v/>
      </c>
      <c r="C173" s="242"/>
      <c r="D173" s="61"/>
      <c r="E173" s="41" t="str">
        <f>IF('Fire Resistance '!E87="CMU Single Wythe with finish on one (1) side",IF(SUM(E169,E171)&gt;4,4,SUM(E169,E171)),"")</f>
        <v/>
      </c>
      <c r="F173" s="21" t="str">
        <f>IF('Fire Resistance '!E87="CMU Single Wythe with a finish on both sides","","hours")</f>
        <v/>
      </c>
      <c r="G173" s="21"/>
      <c r="H173" s="21"/>
      <c r="I173" s="21"/>
      <c r="J173" s="21"/>
      <c r="K173" s="47"/>
    </row>
    <row r="174" spans="1:11" ht="16.149999999999999" thickBot="1" x14ac:dyDescent="0.55000000000000004">
      <c r="A174" s="50"/>
      <c r="B174" s="101"/>
      <c r="C174" s="101"/>
      <c r="D174" s="51"/>
      <c r="E174" s="51"/>
      <c r="F174" s="51"/>
      <c r="G174" s="51"/>
      <c r="H174" s="51"/>
      <c r="I174" s="51"/>
      <c r="J174" s="51"/>
      <c r="K174" s="52"/>
    </row>
    <row r="175" spans="1:11" ht="15.75" x14ac:dyDescent="0.5">
      <c r="A175" s="17"/>
      <c r="B175" s="17"/>
      <c r="C175" s="17"/>
      <c r="D175" s="17"/>
      <c r="E175" s="17"/>
      <c r="F175" s="17"/>
      <c r="G175" s="17"/>
      <c r="H175" s="17"/>
      <c r="I175" s="17"/>
      <c r="J175" s="17"/>
      <c r="K175" s="15"/>
    </row>
    <row r="176" spans="1:11" ht="15.75" x14ac:dyDescent="0.5">
      <c r="A176" s="17"/>
      <c r="B176" s="17"/>
      <c r="C176" s="17"/>
      <c r="D176" s="17"/>
      <c r="E176" s="17"/>
      <c r="F176" s="17"/>
      <c r="G176" s="17"/>
      <c r="H176" s="17"/>
      <c r="I176" s="17"/>
      <c r="J176" s="17"/>
      <c r="K176" s="15"/>
    </row>
    <row r="177" spans="1:11" ht="15.75" x14ac:dyDescent="0.5">
      <c r="A177" s="17"/>
      <c r="B177" s="17"/>
      <c r="C177" s="17"/>
      <c r="D177" s="17"/>
      <c r="E177" s="17"/>
      <c r="F177" s="17"/>
      <c r="G177" s="17"/>
      <c r="H177" s="17"/>
      <c r="I177" s="17"/>
      <c r="J177" s="17"/>
      <c r="K177" s="15"/>
    </row>
    <row r="178" spans="1:11" ht="15.75" x14ac:dyDescent="0.5">
      <c r="A178" s="17"/>
      <c r="B178" s="17"/>
      <c r="C178" s="17"/>
      <c r="D178" s="17"/>
      <c r="E178" s="17"/>
      <c r="F178" s="17"/>
      <c r="G178" s="17"/>
      <c r="H178" s="17"/>
      <c r="I178" s="17"/>
      <c r="J178" s="17"/>
      <c r="K178" s="15"/>
    </row>
    <row r="179" spans="1:11" ht="15.75" x14ac:dyDescent="0.5">
      <c r="A179" s="17"/>
      <c r="B179" s="17"/>
      <c r="C179" s="17"/>
      <c r="D179" s="17"/>
      <c r="E179" s="17"/>
      <c r="F179" s="17"/>
      <c r="G179" s="17"/>
      <c r="H179" s="17"/>
      <c r="I179" s="17"/>
      <c r="J179" s="17"/>
      <c r="K179" s="15"/>
    </row>
    <row r="180" spans="1:11" ht="15.75" x14ac:dyDescent="0.5">
      <c r="A180" s="17"/>
      <c r="B180" s="17"/>
      <c r="C180" s="17"/>
      <c r="D180" s="17"/>
      <c r="E180" s="17"/>
      <c r="F180" s="17"/>
      <c r="G180" s="17"/>
      <c r="H180" s="17"/>
      <c r="I180" s="17"/>
      <c r="J180" s="17"/>
      <c r="K180" s="15"/>
    </row>
    <row r="181" spans="1:11" ht="15.75" x14ac:dyDescent="0.5">
      <c r="A181" s="17"/>
      <c r="B181" s="17"/>
      <c r="C181" s="17"/>
      <c r="D181" s="17"/>
      <c r="E181" s="17"/>
      <c r="F181" s="17"/>
      <c r="G181" s="17"/>
      <c r="H181" s="17"/>
      <c r="I181" s="17"/>
      <c r="J181" s="17"/>
      <c r="K181" s="15"/>
    </row>
    <row r="182" spans="1:11" ht="15.75" x14ac:dyDescent="0.5">
      <c r="A182" s="17"/>
      <c r="B182" s="17"/>
      <c r="C182" s="17"/>
      <c r="D182" s="17"/>
      <c r="E182" s="17"/>
      <c r="F182" s="17"/>
      <c r="G182" s="17"/>
      <c r="H182" s="17"/>
      <c r="I182" s="17"/>
      <c r="J182" s="17"/>
      <c r="K182" s="15"/>
    </row>
    <row r="183" spans="1:11" ht="15.75" x14ac:dyDescent="0.5">
      <c r="A183" s="17"/>
      <c r="B183" s="17"/>
      <c r="C183" s="17"/>
      <c r="D183" s="17"/>
      <c r="E183" s="17"/>
      <c r="F183" s="17"/>
      <c r="G183" s="17"/>
      <c r="H183" s="17"/>
      <c r="I183" s="17"/>
      <c r="J183" s="17"/>
      <c r="K183" s="15"/>
    </row>
    <row r="184" spans="1:11" ht="15.75" x14ac:dyDescent="0.5">
      <c r="A184" s="17"/>
      <c r="B184" s="17"/>
      <c r="C184" s="17"/>
      <c r="D184" s="17"/>
      <c r="E184" s="17"/>
      <c r="F184" s="17"/>
      <c r="G184" s="17"/>
      <c r="H184" s="17"/>
      <c r="I184" s="17"/>
      <c r="J184" s="17"/>
      <c r="K184" s="15"/>
    </row>
    <row r="185" spans="1:11" ht="15.75" x14ac:dyDescent="0.5">
      <c r="A185" s="17"/>
      <c r="B185" s="17"/>
      <c r="C185" s="17"/>
      <c r="D185" s="17"/>
      <c r="E185" s="17"/>
      <c r="F185" s="17"/>
      <c r="G185" s="17"/>
      <c r="H185" s="17"/>
      <c r="I185" s="17"/>
      <c r="J185" s="17"/>
      <c r="K185" s="15"/>
    </row>
    <row r="186" spans="1:11" ht="15.75" x14ac:dyDescent="0.5">
      <c r="A186" s="17"/>
      <c r="B186" s="17"/>
      <c r="C186" s="17"/>
      <c r="D186" s="17"/>
      <c r="E186" s="17"/>
      <c r="F186" s="17"/>
      <c r="G186" s="17"/>
      <c r="H186" s="17"/>
      <c r="I186" s="17"/>
      <c r="J186" s="17"/>
      <c r="K186" s="15"/>
    </row>
    <row r="187" spans="1:11" ht="15.75" x14ac:dyDescent="0.5">
      <c r="A187" s="17"/>
      <c r="B187" s="17"/>
      <c r="C187" s="17"/>
      <c r="D187" s="17"/>
      <c r="E187" s="17"/>
      <c r="F187" s="17"/>
      <c r="G187" s="17"/>
      <c r="H187" s="17"/>
      <c r="I187" s="17"/>
      <c r="J187" s="17"/>
      <c r="K187" s="15"/>
    </row>
    <row r="188" spans="1:11" ht="15.75" x14ac:dyDescent="0.5">
      <c r="A188" s="17"/>
      <c r="B188" s="17"/>
      <c r="C188" s="17"/>
      <c r="D188" s="17"/>
      <c r="E188" s="17"/>
      <c r="F188" s="17"/>
      <c r="G188" s="17"/>
      <c r="H188" s="17"/>
      <c r="I188" s="17"/>
      <c r="J188" s="17"/>
      <c r="K188" s="15"/>
    </row>
    <row r="189" spans="1:11" ht="15.75" x14ac:dyDescent="0.5">
      <c r="A189" s="17"/>
      <c r="B189" s="17"/>
      <c r="C189" s="17"/>
      <c r="D189" s="17"/>
      <c r="E189" s="17"/>
      <c r="F189" s="17"/>
      <c r="G189" s="17"/>
      <c r="H189" s="17"/>
      <c r="I189" s="17"/>
      <c r="J189" s="17"/>
      <c r="K189" s="15"/>
    </row>
    <row r="190" spans="1:11" ht="15.75" x14ac:dyDescent="0.5">
      <c r="A190" s="17"/>
      <c r="B190" s="17"/>
      <c r="C190" s="17"/>
      <c r="D190" s="17"/>
      <c r="E190" s="17"/>
      <c r="F190" s="17"/>
      <c r="G190" s="17"/>
      <c r="H190" s="17"/>
      <c r="I190" s="17"/>
      <c r="J190" s="17"/>
      <c r="K190" s="15"/>
    </row>
    <row r="191" spans="1:11" ht="15.75" x14ac:dyDescent="0.5">
      <c r="A191" s="17"/>
      <c r="B191" s="17"/>
      <c r="C191" s="17"/>
      <c r="D191" s="17"/>
      <c r="E191" s="17"/>
      <c r="F191" s="17"/>
      <c r="G191" s="17"/>
      <c r="H191" s="17"/>
      <c r="I191" s="17"/>
      <c r="J191" s="17"/>
      <c r="K191" s="15"/>
    </row>
    <row r="192" spans="1:11" ht="15.75" x14ac:dyDescent="0.5">
      <c r="A192" s="17"/>
      <c r="B192" s="17"/>
      <c r="C192" s="17"/>
      <c r="D192" s="17"/>
      <c r="E192" s="17"/>
      <c r="F192" s="17"/>
      <c r="G192" s="17"/>
      <c r="H192" s="17"/>
      <c r="I192" s="17"/>
      <c r="J192" s="17"/>
      <c r="K192" s="15"/>
    </row>
    <row r="193" spans="1:11" ht="15.75" x14ac:dyDescent="0.5">
      <c r="A193" s="17"/>
      <c r="B193" s="17"/>
      <c r="C193" s="17"/>
      <c r="D193" s="17"/>
      <c r="E193" s="17"/>
      <c r="F193" s="17"/>
      <c r="G193" s="17"/>
      <c r="H193" s="17"/>
      <c r="I193" s="17"/>
      <c r="J193" s="17"/>
      <c r="K193" s="15"/>
    </row>
    <row r="194" spans="1:11" ht="15.75" x14ac:dyDescent="0.5">
      <c r="A194" s="17"/>
      <c r="B194" s="17"/>
      <c r="C194" s="17"/>
      <c r="D194" s="17"/>
      <c r="E194" s="17"/>
      <c r="F194" s="17"/>
      <c r="G194" s="17"/>
      <c r="H194" s="17"/>
      <c r="I194" s="17"/>
      <c r="J194" s="17"/>
      <c r="K194" s="15"/>
    </row>
    <row r="195" spans="1:11" ht="15.75" x14ac:dyDescent="0.5">
      <c r="A195" s="17"/>
      <c r="B195" s="17"/>
      <c r="C195" s="17"/>
      <c r="D195" s="17"/>
      <c r="E195" s="17"/>
      <c r="F195" s="17"/>
      <c r="G195" s="17"/>
      <c r="H195" s="17"/>
      <c r="I195" s="17"/>
      <c r="J195" s="17"/>
      <c r="K195" s="15"/>
    </row>
    <row r="196" spans="1:11" ht="15.75" x14ac:dyDescent="0.5">
      <c r="A196" s="17"/>
      <c r="B196" s="17"/>
      <c r="C196" s="17"/>
      <c r="D196" s="17"/>
      <c r="E196" s="17"/>
      <c r="F196" s="17"/>
      <c r="G196" s="17"/>
      <c r="H196" s="17"/>
      <c r="I196" s="17"/>
      <c r="J196" s="17"/>
      <c r="K196" s="15"/>
    </row>
    <row r="197" spans="1:11" ht="15.75" x14ac:dyDescent="0.5">
      <c r="A197" s="17"/>
      <c r="B197" s="17"/>
      <c r="C197" s="17"/>
      <c r="D197" s="17"/>
      <c r="E197" s="17"/>
      <c r="F197" s="17"/>
      <c r="G197" s="17"/>
      <c r="H197" s="17"/>
      <c r="I197" s="17"/>
      <c r="J197" s="17"/>
      <c r="K197" s="15"/>
    </row>
    <row r="198" spans="1:11" ht="15.75" x14ac:dyDescent="0.5">
      <c r="A198" s="17"/>
      <c r="B198" s="17"/>
      <c r="C198" s="17"/>
      <c r="D198" s="17"/>
      <c r="E198" s="17"/>
      <c r="F198" s="17"/>
      <c r="G198" s="17"/>
      <c r="H198" s="17"/>
      <c r="I198" s="17"/>
      <c r="J198" s="17"/>
      <c r="K198" s="15"/>
    </row>
    <row r="199" spans="1:11" ht="15.75" x14ac:dyDescent="0.5">
      <c r="A199" s="17"/>
      <c r="B199" s="17"/>
      <c r="C199" s="17"/>
      <c r="D199" s="17"/>
      <c r="E199" s="17"/>
      <c r="F199" s="17"/>
      <c r="G199" s="17"/>
      <c r="H199" s="17"/>
      <c r="I199" s="17"/>
      <c r="J199" s="17"/>
      <c r="K199" s="15"/>
    </row>
    <row r="200" spans="1:11" ht="15.75" x14ac:dyDescent="0.5">
      <c r="A200" s="17"/>
      <c r="B200" s="17"/>
      <c r="C200" s="17"/>
      <c r="D200" s="17"/>
      <c r="E200" s="17"/>
      <c r="F200" s="17"/>
      <c r="G200" s="17"/>
      <c r="H200" s="17"/>
      <c r="I200" s="17"/>
      <c r="J200" s="17"/>
      <c r="K200" s="15"/>
    </row>
    <row r="201" spans="1:11" x14ac:dyDescent="0.45">
      <c r="A201" s="15"/>
      <c r="B201" s="15"/>
      <c r="C201" s="15"/>
      <c r="D201" s="15"/>
      <c r="E201" s="15"/>
      <c r="F201" s="15"/>
      <c r="G201" s="85" t="s">
        <v>3</v>
      </c>
      <c r="H201" s="237">
        <f>H137</f>
        <v>0</v>
      </c>
      <c r="I201" s="237"/>
      <c r="J201" s="237" t="e">
        <f>#REF!</f>
        <v>#REF!</v>
      </c>
      <c r="K201" s="237"/>
    </row>
    <row r="202" spans="1:11" x14ac:dyDescent="0.45">
      <c r="A202" s="15"/>
      <c r="B202" s="15"/>
      <c r="C202" s="15"/>
      <c r="D202" s="15"/>
      <c r="E202" s="15"/>
      <c r="F202" s="15"/>
      <c r="G202" s="85" t="s">
        <v>5</v>
      </c>
      <c r="H202" s="238">
        <f>H138</f>
        <v>0</v>
      </c>
      <c r="I202" s="238"/>
      <c r="J202" s="238" t="e">
        <f>#REF!</f>
        <v>#REF!</v>
      </c>
      <c r="K202" s="238"/>
    </row>
    <row r="203" spans="1:11" x14ac:dyDescent="0.45">
      <c r="A203" s="15"/>
      <c r="B203" s="15"/>
      <c r="C203" s="15"/>
      <c r="D203" s="15"/>
      <c r="E203" s="15"/>
      <c r="F203" s="15"/>
      <c r="G203" s="85" t="s">
        <v>6</v>
      </c>
      <c r="H203" s="238">
        <f>H139</f>
        <v>0</v>
      </c>
      <c r="I203" s="238"/>
      <c r="J203" s="238" t="e">
        <f>#REF!</f>
        <v>#REF!</v>
      </c>
      <c r="K203" s="238"/>
    </row>
    <row r="204" spans="1:11" x14ac:dyDescent="0.45">
      <c r="A204" s="15"/>
      <c r="B204" s="15"/>
      <c r="C204" s="15"/>
      <c r="D204" s="15"/>
      <c r="E204" s="15"/>
      <c r="F204" s="15"/>
      <c r="G204" s="85" t="s">
        <v>7</v>
      </c>
      <c r="H204" s="238">
        <f>H140</f>
        <v>0</v>
      </c>
      <c r="I204" s="238"/>
      <c r="J204" s="238" t="e">
        <f>#REF!</f>
        <v>#REF!</v>
      </c>
      <c r="K204" s="238"/>
    </row>
    <row r="205" spans="1:11" x14ac:dyDescent="0.45">
      <c r="A205" s="15"/>
      <c r="B205" s="15"/>
      <c r="C205" s="15"/>
      <c r="D205" s="15"/>
      <c r="E205" s="15"/>
      <c r="F205" s="15"/>
      <c r="G205" s="15"/>
      <c r="H205" s="2"/>
      <c r="I205" s="2"/>
      <c r="J205" s="15"/>
      <c r="K205" s="15"/>
    </row>
    <row r="206" spans="1:11" ht="15.75" x14ac:dyDescent="0.5">
      <c r="A206" s="17"/>
      <c r="B206" s="61"/>
      <c r="C206" s="61"/>
      <c r="D206" s="61"/>
      <c r="E206" s="43"/>
      <c r="F206" s="21"/>
      <c r="G206" s="17"/>
      <c r="H206" s="17"/>
      <c r="I206" s="17"/>
      <c r="J206" s="17"/>
      <c r="K206" s="15"/>
    </row>
    <row r="207" spans="1:11" ht="15.75" x14ac:dyDescent="0.5">
      <c r="A207" s="17"/>
      <c r="B207" s="61"/>
      <c r="C207" s="249" t="s">
        <v>74</v>
      </c>
      <c r="D207" s="249"/>
      <c r="E207" s="249"/>
      <c r="F207" s="249"/>
      <c r="G207" s="249"/>
      <c r="H207" s="249"/>
      <c r="J207" s="17"/>
      <c r="K207" s="15"/>
    </row>
    <row r="208" spans="1:11" ht="15.75" x14ac:dyDescent="0.5">
      <c r="A208" s="17"/>
      <c r="B208" s="61"/>
      <c r="C208" s="251" t="s">
        <v>75</v>
      </c>
      <c r="D208" s="251"/>
      <c r="E208" s="250" t="str">
        <f>E144</f>
        <v>Portland Cement-Sand Plaster on Metal Lath</v>
      </c>
      <c r="F208" s="250"/>
      <c r="G208" s="250"/>
      <c r="H208" s="250"/>
      <c r="I208" s="17"/>
      <c r="J208" s="17"/>
      <c r="K208" s="15"/>
    </row>
    <row r="209" spans="1:11" ht="15.75" x14ac:dyDescent="0.5">
      <c r="A209" s="17"/>
      <c r="B209" s="61"/>
      <c r="C209" s="251"/>
      <c r="D209" s="251"/>
      <c r="E209" s="250" t="str">
        <f t="shared" ref="E209:E211" si="0">E145</f>
        <v>3/8 in.</v>
      </c>
      <c r="F209" s="250"/>
      <c r="G209" s="250"/>
      <c r="H209" s="250"/>
      <c r="I209" s="17"/>
      <c r="J209" s="17"/>
      <c r="K209" s="15"/>
    </row>
    <row r="210" spans="1:11" ht="15.75" x14ac:dyDescent="0.5">
      <c r="A210" s="17"/>
      <c r="B210" s="61"/>
      <c r="C210" s="251" t="s">
        <v>76</v>
      </c>
      <c r="D210" s="251"/>
      <c r="E210" s="250" t="str">
        <f t="shared" si="0"/>
        <v>Portland Cement Sand Plaster</v>
      </c>
      <c r="F210" s="250"/>
      <c r="G210" s="250"/>
      <c r="H210" s="250"/>
      <c r="I210" s="17"/>
      <c r="J210" s="17"/>
      <c r="K210" s="15"/>
    </row>
    <row r="211" spans="1:11" ht="15.75" x14ac:dyDescent="0.5">
      <c r="A211" s="17"/>
      <c r="B211" s="61"/>
      <c r="C211" s="251"/>
      <c r="D211" s="251"/>
      <c r="E211" s="250" t="str">
        <f t="shared" si="0"/>
        <v>Siliceous_Calcareous_Limestone_Cinders_Air Cooled Blast Furnace Slag</v>
      </c>
      <c r="F211" s="250"/>
      <c r="G211" s="250"/>
      <c r="H211" s="250"/>
      <c r="I211" s="17"/>
      <c r="J211" s="17"/>
      <c r="K211" s="15"/>
    </row>
    <row r="212" spans="1:11" ht="15.75" x14ac:dyDescent="0.5">
      <c r="A212" s="17"/>
      <c r="B212" s="61"/>
      <c r="C212" s="257" t="s">
        <v>88</v>
      </c>
      <c r="D212" s="258"/>
      <c r="E212" s="252" t="str">
        <f>'Fire Resistance '!$E$113</f>
        <v>Gypsum-Sand Plaster on 3/8 in. gypsum lath</v>
      </c>
      <c r="F212" s="253"/>
      <c r="G212" s="253"/>
      <c r="H212" s="254"/>
      <c r="I212" s="17"/>
      <c r="J212" s="17"/>
      <c r="K212" s="15"/>
    </row>
    <row r="213" spans="1:11" ht="15.75" x14ac:dyDescent="0.5">
      <c r="A213" s="17"/>
      <c r="B213" s="61"/>
      <c r="C213" s="259"/>
      <c r="D213" s="260"/>
      <c r="E213" s="252" t="str">
        <f>'Fire Resistance '!$E$114</f>
        <v>1/2 in.</v>
      </c>
      <c r="F213" s="253"/>
      <c r="G213" s="253"/>
      <c r="H213" s="254"/>
      <c r="I213" s="17"/>
      <c r="J213" s="17"/>
      <c r="K213" s="15"/>
    </row>
    <row r="214" spans="1:11" ht="15.75" x14ac:dyDescent="0.5">
      <c r="A214" s="17"/>
      <c r="B214" s="61"/>
      <c r="C214" s="257" t="s">
        <v>77</v>
      </c>
      <c r="D214" s="258"/>
      <c r="E214" s="252" t="str">
        <f>'Fire Resistance '!$E$96</f>
        <v>Gypsum Sand Plaster</v>
      </c>
      <c r="F214" s="253"/>
      <c r="G214" s="253"/>
      <c r="H214" s="254"/>
      <c r="I214" s="17"/>
      <c r="J214" s="17"/>
      <c r="K214" s="15"/>
    </row>
    <row r="215" spans="1:11" ht="15.75" x14ac:dyDescent="0.5">
      <c r="A215" s="17"/>
      <c r="B215" s="61"/>
      <c r="C215" s="259"/>
      <c r="D215" s="260"/>
      <c r="E215" s="252" t="str">
        <f>'Fire Resistance '!$E$97</f>
        <v>Siliceous_Calcareous_Limestone_Cinders_Air Cooled Blast Furnace Slag</v>
      </c>
      <c r="F215" s="253"/>
      <c r="G215" s="253"/>
      <c r="H215" s="254"/>
      <c r="I215" s="17"/>
      <c r="J215" s="17"/>
      <c r="K215" s="15"/>
    </row>
    <row r="216" spans="1:11" ht="15.75" x14ac:dyDescent="0.5">
      <c r="A216" s="17"/>
      <c r="B216" s="61"/>
      <c r="C216" s="74"/>
      <c r="D216" s="74"/>
      <c r="I216" s="17"/>
      <c r="J216" s="17"/>
      <c r="K216" s="15"/>
    </row>
    <row r="217" spans="1:11" ht="16.149999999999999" thickBot="1" x14ac:dyDescent="0.55000000000000004">
      <c r="A217" s="17"/>
      <c r="B217" s="61"/>
      <c r="C217" s="74"/>
      <c r="D217" s="246" t="s">
        <v>103</v>
      </c>
      <c r="E217" s="247"/>
      <c r="F217" s="247"/>
      <c r="G217" s="248"/>
      <c r="I217" s="17"/>
      <c r="J217" s="17"/>
      <c r="K217" s="15"/>
    </row>
    <row r="218" spans="1:11" ht="16.149999999999999" thickBot="1" x14ac:dyDescent="0.55000000000000004">
      <c r="A218" s="239" t="str">
        <f>IF('Fire Resistance '!E87="CMU Single Wythe with a finish on both sides","Fire Rating Based on Finishes - Both Sides","")</f>
        <v>Fire Rating Based on Finishes - Both Sides</v>
      </c>
      <c r="B218" s="240"/>
      <c r="C218" s="240"/>
      <c r="D218" s="240"/>
      <c r="E218" s="240"/>
      <c r="F218" s="240"/>
      <c r="G218" s="240"/>
      <c r="H218" s="240"/>
      <c r="I218" s="240"/>
      <c r="J218" s="240"/>
      <c r="K218" s="241"/>
    </row>
    <row r="219" spans="1:11" s="56" customFormat="1" ht="15.75" x14ac:dyDescent="0.5">
      <c r="A219" s="93"/>
      <c r="B219" s="94"/>
      <c r="C219" s="94"/>
      <c r="D219" s="94"/>
      <c r="E219" s="95"/>
      <c r="F219" s="95"/>
      <c r="G219" s="95"/>
      <c r="H219" s="95"/>
      <c r="I219" s="95"/>
      <c r="J219" s="95"/>
      <c r="K219" s="96"/>
    </row>
    <row r="220" spans="1:11" x14ac:dyDescent="0.45">
      <c r="A220" s="102"/>
      <c r="B220" s="116" t="s">
        <v>63</v>
      </c>
      <c r="C220" s="117"/>
      <c r="D220" s="64"/>
      <c r="E220" s="64"/>
      <c r="F220" s="64"/>
      <c r="G220" s="64"/>
      <c r="H220" s="64"/>
      <c r="I220" s="64"/>
      <c r="J220" s="64"/>
      <c r="K220" s="47"/>
    </row>
    <row r="221" spans="1:11" ht="15.75" x14ac:dyDescent="0.5">
      <c r="A221" s="102"/>
      <c r="B221" s="242" t="str">
        <f>IF('Fire Resistance '!E87="CMU Single Wythe with a finish on both sides","Fire Side Finish #1 Fire Rating","")</f>
        <v>Fire Side Finish #1 Fire Rating</v>
      </c>
      <c r="C221" s="242"/>
      <c r="D221" s="64"/>
      <c r="E221" s="38">
        <f>IF(ISNUMBER('Fire Resistance Loop Tables'!C114),'Fire Resistance Loop Tables'!C114,0)</f>
        <v>0</v>
      </c>
      <c r="F221" s="21" t="str">
        <f>IF(AND('Fire Resistance '!$E$87="CMU Single Wythe with a finish on both sides",'Fire Resistance '!E92="Yes",'Fire Resistance '!E96="Gypsum Vermiculite or Perlite Plaster"),"","hours")</f>
        <v>hours</v>
      </c>
      <c r="G221" s="64"/>
      <c r="H221" s="64"/>
      <c r="I221" s="64"/>
      <c r="J221" s="64"/>
      <c r="K221" s="47"/>
    </row>
    <row r="222" spans="1:11" ht="15.75" x14ac:dyDescent="0.5">
      <c r="A222" s="102"/>
      <c r="B222" s="112"/>
      <c r="C222" s="112"/>
      <c r="D222" s="64"/>
      <c r="E222" s="29"/>
      <c r="F222" s="21"/>
      <c r="G222" s="64"/>
      <c r="H222" s="64"/>
      <c r="I222" s="64"/>
      <c r="J222" s="64"/>
      <c r="K222" s="47"/>
    </row>
    <row r="223" spans="1:11" ht="15.75" x14ac:dyDescent="0.5">
      <c r="A223" s="102"/>
      <c r="B223" s="242" t="str">
        <f>IF('Fire Resistance '!E87="CMU Single Wythe with a finish on both sides","Non-Fire Side Finish #2 Factor","")</f>
        <v>Non-Fire Side Finish #2 Factor</v>
      </c>
      <c r="C223" s="242"/>
      <c r="D223" s="64"/>
      <c r="E223" s="38">
        <f t="array" ref="E223">IF(AND('Fire Resistance '!E87="CMU Single Wythe with a finish on both sides",OR('Fire Resistance '!E96="Gypsum Vermiculite or Perlite Plaster",'Fire Resistance '!E98="Yes")),'Fire Resistance Loop Tables'!D74,INDEX('Fire Resistance Loop Tables'!$C$59:$D$68,MATCH('Fire Resistance '!$E$96&amp;'Fire Resistance '!$E$104,'Fire Resistance Loop Tables'!$A$59:$A$73&amp;'Fire Resistance Loop Tables'!$B$59:$B$73,0),MATCH('Fire Resistance '!$E$97,'Fire Resistance Loop Tables'!$C$58:$D$58,0)))</f>
        <v>1.25</v>
      </c>
      <c r="F223" s="64"/>
      <c r="G223" s="64"/>
      <c r="H223" s="64"/>
      <c r="I223" s="64"/>
      <c r="J223" s="64"/>
      <c r="K223" s="47"/>
    </row>
    <row r="224" spans="1:11" ht="15.75" x14ac:dyDescent="0.5">
      <c r="A224" s="102"/>
      <c r="B224" s="242" t="str">
        <f>IF('Fire Resistance '!$E$87="CMU Single Wythe with a finish on both sides","Non-Fire Side Finish #2 Equivalent Thickness","")</f>
        <v>Non-Fire Side Finish #2 Equivalent Thickness</v>
      </c>
      <c r="C224" s="242"/>
      <c r="D224" s="97"/>
      <c r="E224" s="119">
        <f>IF('Fire Resistance '!$E$87="CMU Single Wythe with a finish on both sides",IF(AND('Fire Resistance '!$E$90="Gypsum Vermiculite or Perlite Plaster",'Fire Resistance '!$E$98="Yes"),'Fire Resistance '!E105*'Fire Resistance Rating'!E223,IF(AND('Fire Resistance '!E96="Gypsum Vermiculite or Perlite Plaster",'Fire Resistance '!E92="Yes"),'Fire Resistance Loop Tables'!B43+'Fire Resistance '!E105*'Fire Resistance Rating'!E223,IF('Fire Resistance '!$E$90="Gypsum Vermiculite or Perlite Plaster",'Fire Resistance '!F104*'Fire Resistance Rating'!E223,IF('Fire Resistance '!E96="Gypsum Vermiculite or Perlite Plaster",'Fire Resistance '!E105*E223,IF(OR('Fire Resistance '!E96="Portland Cement Sand Plaster",'Fire Resistance '!E96="Gypsum Sand Plaster",'Fire Resistance '!E96="Gypsum Wallboard"),E223*'Fire Resistance '!F104,'Fire Resistance Loop Tables'!B98+'Fire Resistance '!E105*'Fire Resistance Rating'!E223))))))</f>
        <v>0.625</v>
      </c>
      <c r="F224" s="21" t="str">
        <f>IF('Fire Resistance '!$E$87="CMU Single Wythe with a finish on both sides","in.","")</f>
        <v>in.</v>
      </c>
      <c r="G224" s="64"/>
      <c r="H224" s="64"/>
      <c r="I224" s="64"/>
      <c r="J224" s="64"/>
      <c r="K224" s="47"/>
    </row>
    <row r="225" spans="1:11" ht="15.75" x14ac:dyDescent="0.5">
      <c r="A225" s="102"/>
      <c r="B225" s="242" t="str">
        <f>IF('Fire Resistance '!E87="CMU Single Wythe with a finish on both sides","Equivalent Thickness of Unit","")</f>
        <v>Equivalent Thickness of Unit</v>
      </c>
      <c r="C225" s="242"/>
      <c r="D225" s="64"/>
      <c r="E225" s="20">
        <f>IF('Fire Resistance '!E87="CMU Single Wythe with a finish on both sides",E15,"")</f>
        <v>8</v>
      </c>
      <c r="F225" s="21" t="str">
        <f>IF('Fire Resistance '!$E$87="CMU Single Wythe with a finish on both sides","in.","")</f>
        <v>in.</v>
      </c>
      <c r="G225" s="64"/>
      <c r="H225" s="64"/>
      <c r="I225" s="64"/>
      <c r="J225" s="64"/>
      <c r="K225" s="47"/>
    </row>
    <row r="226" spans="1:11" ht="15.75" x14ac:dyDescent="0.5">
      <c r="A226" s="102"/>
      <c r="B226" s="242" t="str">
        <f>IF('Fire Resistance '!E87="CMU Single Wythe with a finish on both sides","Total Equivalent Thickness","")</f>
        <v>Total Equivalent Thickness</v>
      </c>
      <c r="C226" s="242"/>
      <c r="D226" s="64"/>
      <c r="E226" s="38">
        <f>IF('Fire Resistance '!E87="CMU Single Wythe with a finish on both sides",SUM(E224,E225),"")</f>
        <v>8.625</v>
      </c>
      <c r="F226" s="21" t="str">
        <f>IF('Fire Resistance '!$E$87="CMU Single Wythe with a finish on both sides","in.","")</f>
        <v>in.</v>
      </c>
      <c r="G226" s="64"/>
      <c r="H226" s="64"/>
      <c r="I226" s="64"/>
      <c r="J226" s="64"/>
      <c r="K226" s="47"/>
    </row>
    <row r="227" spans="1:11" ht="15.75" hidden="1" x14ac:dyDescent="0.5">
      <c r="A227" s="48"/>
      <c r="B227" s="98"/>
      <c r="C227" s="112" t="str">
        <f>$C$16</f>
        <v>Max/Min Equivalent Thickness Check</v>
      </c>
      <c r="D227" s="61" t="s">
        <v>12</v>
      </c>
      <c r="E227" s="20"/>
      <c r="F227" s="21"/>
      <c r="G227" s="64"/>
      <c r="H227" s="64"/>
      <c r="I227" s="64"/>
      <c r="J227" s="64"/>
      <c r="K227" s="47"/>
    </row>
    <row r="228" spans="1:11" ht="15.75" hidden="1" x14ac:dyDescent="0.5">
      <c r="A228" s="48" t="str">
        <f>'Fire Resistance '!$A$18</f>
        <v>Calcareous or Siliceous Gravel</v>
      </c>
      <c r="B228" s="98"/>
      <c r="C228" s="99">
        <f>IF($E$226&gt;'Fire Resistance Lookup Graph'!$B3,'Fire Resistance Lookup Graph'!$B3,IF($E$226&lt;'Fire Resistance Lookup Graph'!$P3,'Fire Resistance Lookup Graph'!$P3,$E$226))</f>
        <v>6.2</v>
      </c>
      <c r="D228" s="100">
        <f>0.0765*C228^2+0.1955*C228-0.1732</f>
        <v>3.9795600000000007</v>
      </c>
      <c r="E228" s="20"/>
      <c r="F228" s="21"/>
      <c r="G228" s="64"/>
      <c r="H228" s="64"/>
      <c r="I228" s="64"/>
      <c r="J228" s="64"/>
      <c r="K228" s="47"/>
    </row>
    <row r="229" spans="1:11" ht="15.75" hidden="1" x14ac:dyDescent="0.5">
      <c r="A229" s="48" t="str">
        <f>'Fire Resistance '!$A$19</f>
        <v>Limestone, Cinders or Unexpanded Slag</v>
      </c>
      <c r="B229" s="98"/>
      <c r="C229" s="99">
        <f>IF($E$226&gt;'Fire Resistance Lookup Graph'!$B4,'Fire Resistance Lookup Graph'!$B4,IF($E$226&lt;'Fire Resistance Lookup Graph'!$P4,'Fire Resistance Lookup Graph'!$P4,$E$226))</f>
        <v>5.9</v>
      </c>
      <c r="D229" s="100">
        <f>0.0839*C229^2+0.219*C229-0.2133</f>
        <v>3.9993590000000006</v>
      </c>
      <c r="E229" s="20"/>
      <c r="F229" s="21"/>
      <c r="G229" s="64"/>
      <c r="H229" s="64"/>
      <c r="I229" s="64"/>
      <c r="J229" s="64"/>
      <c r="K229" s="47"/>
    </row>
    <row r="230" spans="1:11" ht="15.75" hidden="1" x14ac:dyDescent="0.5">
      <c r="A230" s="48" t="str">
        <f>'Fire Resistance '!$A$20</f>
        <v>Expanded clay, shale, or slate</v>
      </c>
      <c r="B230" s="98"/>
      <c r="C230" s="99">
        <f>IF($E$226&gt;'Fire Resistance Lookup Graph'!$B5,'Fire Resistance Lookup Graph'!$B5,IF($E$226&lt;'Fire Resistance Lookup Graph'!$P5,'Fire Resistance Lookup Graph'!$P5,$E$226))</f>
        <v>5.0999999999999996</v>
      </c>
      <c r="D230" s="100">
        <f>0.1668*C230^2-0.0765*C230+0.0839</f>
        <v>4.0322180000000003</v>
      </c>
      <c r="E230" s="20"/>
      <c r="F230" s="21"/>
      <c r="G230" s="64"/>
      <c r="H230" s="64"/>
      <c r="I230" s="64"/>
      <c r="J230" s="64"/>
      <c r="K230" s="47"/>
    </row>
    <row r="231" spans="1:11" ht="15.75" hidden="1" x14ac:dyDescent="0.5">
      <c r="A231" s="48" t="str">
        <f>'Fire Resistance '!$A$21</f>
        <v>Expanded slag or pumice</v>
      </c>
      <c r="B231" s="98"/>
      <c r="C231" s="99">
        <f>IF($E$226&gt;'Fire Resistance Lookup Graph'!$B6,'Fire Resistance Lookup Graph'!$B6,IF($E$226&lt;'Fire Resistance Lookup Graph'!$P6,'Fire Resistance Lookup Graph'!$P6,$E$226))</f>
        <v>4.7</v>
      </c>
      <c r="D231" s="100">
        <f>0.1389*C231^2+0.2342*C231-0.1647</f>
        <v>4.0043410000000002</v>
      </c>
      <c r="E231" s="20"/>
      <c r="F231" s="21"/>
      <c r="G231" s="64"/>
      <c r="H231" s="64"/>
      <c r="I231" s="64"/>
      <c r="J231" s="64"/>
      <c r="K231" s="47"/>
    </row>
    <row r="232" spans="1:11" ht="15.75" x14ac:dyDescent="0.5">
      <c r="A232" s="102"/>
      <c r="B232" s="242" t="str">
        <f>IF('Fire Resistance '!E87="CMU Single Wythe with a finish on both sides","Total Non-Fire Side Fire Rating of Unit","")</f>
        <v>Total Non-Fire Side Fire Rating of Unit</v>
      </c>
      <c r="C232" s="242"/>
      <c r="D232" s="64"/>
      <c r="E232" s="38">
        <f>IF('Fire Resistance '!E87="CMU Single Wythe with a finish on both sides",('Fire Resistance '!E18*D228+'Fire Resistance '!E19*D229+'Fire Resistance '!E20*D230+'Fire Resistance '!E21*D231)/100,"")</f>
        <v>3.9986036999999999</v>
      </c>
      <c r="F232" s="21" t="str">
        <f>IF('Fire Resistance '!$E$87="CMU Single Wythe with a finish on both sides","hours","")</f>
        <v>hours</v>
      </c>
      <c r="G232" s="64"/>
      <c r="H232" s="64"/>
      <c r="I232" s="64"/>
      <c r="J232" s="64"/>
      <c r="K232" s="47"/>
    </row>
    <row r="233" spans="1:11" ht="15.75" x14ac:dyDescent="0.5">
      <c r="A233" s="102"/>
      <c r="B233" s="112"/>
      <c r="C233" s="112"/>
      <c r="D233" s="64"/>
      <c r="E233" s="29"/>
      <c r="F233" s="21"/>
      <c r="G233" s="64"/>
      <c r="H233" s="64"/>
      <c r="I233" s="64"/>
      <c r="J233" s="64"/>
      <c r="K233" s="47"/>
    </row>
    <row r="234" spans="1:11" ht="15.75" x14ac:dyDescent="0.5">
      <c r="A234" s="102"/>
      <c r="B234" s="242" t="str">
        <f>IF('Fire Resistance '!E87="CMU Single Wythe with a finish on both sides","Total Fire Rating of Unit","")</f>
        <v>Total Fire Rating of Unit</v>
      </c>
      <c r="C234" s="242"/>
      <c r="D234" s="64"/>
      <c r="E234" s="40">
        <f>IF(AND('Fire Resistance '!E87="CMU Single Wythe with a finish on both sides",'Fire Resistance '!E96="Gypsum Vermiculite or Perlite Plaster",'Fire Resistance '!E92="Yes"),E232,IF(E221+E232&gt;4,4,SUM(E221,E232)))</f>
        <v>3.9986036999999999</v>
      </c>
      <c r="F234" s="21" t="str">
        <f>IF('Fire Resistance '!$E$87="CMU Single Wythe with a finish on both sides","hours","")</f>
        <v>hours</v>
      </c>
      <c r="G234" s="64"/>
      <c r="H234" s="64"/>
      <c r="I234" s="64"/>
      <c r="J234" s="64"/>
      <c r="K234" s="47"/>
    </row>
    <row r="235" spans="1:11" x14ac:dyDescent="0.45">
      <c r="A235" s="102"/>
      <c r="B235" s="117"/>
      <c r="C235" s="117"/>
      <c r="D235" s="64"/>
      <c r="E235" s="64"/>
      <c r="F235" s="64"/>
      <c r="G235" s="64"/>
      <c r="H235" s="64"/>
      <c r="I235" s="64"/>
      <c r="J235" s="64"/>
      <c r="K235" s="47"/>
    </row>
    <row r="236" spans="1:11" x14ac:dyDescent="0.45">
      <c r="A236" s="102"/>
      <c r="B236" s="116" t="s">
        <v>64</v>
      </c>
      <c r="C236" s="117"/>
      <c r="D236" s="64"/>
      <c r="E236" s="64"/>
      <c r="F236" s="64"/>
      <c r="G236" s="64"/>
      <c r="H236" s="64"/>
      <c r="I236" s="64"/>
      <c r="J236" s="64"/>
      <c r="K236" s="47"/>
    </row>
    <row r="237" spans="1:11" ht="15.75" x14ac:dyDescent="0.5">
      <c r="A237" s="102"/>
      <c r="B237" s="242" t="str">
        <f>IF('Fire Resistance '!E87="CMU Single Wythe with a finish on both sides","Fire Side Finish #2 Fire Rating","")</f>
        <v>Fire Side Finish #2 Fire Rating</v>
      </c>
      <c r="C237" s="242"/>
      <c r="D237" s="21"/>
      <c r="E237" s="38">
        <f t="array" ref="E237">IF('Fire Resistance '!E87="CMU Single Wythe with a finish on both sides",IF(AND('Fire Resistance '!E90="Gypsum Vermiculite or Perlite Plaster",'Fire Resistance '!E98="Yes"),"Accounted for in thickness below",IF('Fire Resistance '!E96="Gypsum Vermiculite or Perlite Plaster",0,INDEX('Fire Resistance Loop Tables'!C77:C94,MATCH('Fire Resistance '!$E$113&amp;'Fire Resistance '!E114,'Fire Resistance Loop Tables'!A77:A94&amp;'Fire Resistance Loop Tables'!B77:B94,0)))))</f>
        <v>0.58333333333333337</v>
      </c>
      <c r="F237" s="21" t="str">
        <f>IF(AND('Fire Resistance '!$E$87="CMU Single Wythe with a finish on both sides",'Fire Resistance '!E98="Yes",'Fire Resistance '!E90="Gypsum Vermiculite or Perlite Plaster"),"","hours")</f>
        <v>hours</v>
      </c>
      <c r="G237" s="64"/>
      <c r="H237" s="64"/>
      <c r="I237" s="64"/>
      <c r="J237" s="64"/>
      <c r="K237" s="47"/>
    </row>
    <row r="238" spans="1:11" ht="15.75" x14ac:dyDescent="0.5">
      <c r="A238" s="102"/>
      <c r="B238" s="112"/>
      <c r="C238" s="112"/>
      <c r="D238" s="21"/>
      <c r="E238" s="29"/>
      <c r="F238" s="21"/>
      <c r="G238" s="64"/>
      <c r="H238" s="64"/>
      <c r="I238" s="64"/>
      <c r="J238" s="64"/>
      <c r="K238" s="47"/>
    </row>
    <row r="239" spans="1:11" ht="15.75" x14ac:dyDescent="0.5">
      <c r="A239" s="102"/>
      <c r="B239" s="242" t="str">
        <f>IF('Fire Resistance '!E87="CMU Single Wythe with a finish on both sides","Non-Fire Side Finish #1 Factor","")</f>
        <v>Non-Fire Side Finish #1 Factor</v>
      </c>
      <c r="C239" s="242"/>
      <c r="D239" s="64"/>
      <c r="E239" s="38">
        <f>IF(AND('Fire Resistance '!$E$87="CMU Single Wythe with a finish on both sides",'Fire Resistance '!$E$90="Gypsum Vermiculite and Perlite Plaster"),'Fire Resistance Loop Tables'!$D$20,INDEX('Fire Resistance Loop Tables'!$C$5:$D$19,MATCH('Fire Resistance '!$E$90,'Fire Resistance Loop Tables'!$A$5:$A$19,0),MATCH('Fire Resistance '!$E$91,'Fire Resistance Loop Tables'!$C$4:$D$4,0)))</f>
        <v>1</v>
      </c>
      <c r="F239" s="64"/>
      <c r="G239" s="64"/>
      <c r="H239" s="64"/>
      <c r="I239" s="64"/>
      <c r="J239" s="64"/>
      <c r="K239" s="47"/>
    </row>
    <row r="240" spans="1:11" ht="15.75" x14ac:dyDescent="0.5">
      <c r="A240" s="102"/>
      <c r="B240" s="242" t="str">
        <f>IF('Fire Resistance '!$E$87="CMU Single Wythe with a finish on both sides","Non-Fire Side Finish #1 Equivalent Thickness","")</f>
        <v>Non-Fire Side Finish #1 Equivalent Thickness</v>
      </c>
      <c r="C240" s="242"/>
      <c r="D240" s="64"/>
      <c r="E240" s="119">
        <f>IF('Fire Resistance '!$E$87="CMU Single Wythe with a finish on both sides",IF(AND('Fire Resistance '!$E$90="Gypsum Vermiculite or Perlite Plaster",'Fire Resistance '!$E$98="Yes"),'Fire Resistance Loop Tables'!B98+'Fire Resistance '!E102*'Fire Resistance Rating'!E239,IF(AND('Fire Resistance '!E96="Gypsum Vermiculite or Perlite Plaster",'Fire Resistance '!E92="Yes"),'Fire Resistance '!E102*E239,IF('Fire Resistance '!$E$90="Gypsum Vermiculite or Perlite Plaster",'Fire Resistance '!E102*'Fire Resistance Rating'!E239,'Fire Resistance '!F101*'Fire Resistance Rating'!E239))))</f>
        <v>0.5</v>
      </c>
      <c r="F240" s="21" t="str">
        <f>IF('Fire Resistance '!$E$87="CMU Single Wythe with a finish on both sides","in.","")</f>
        <v>in.</v>
      </c>
      <c r="G240" s="64"/>
      <c r="H240" s="64"/>
      <c r="I240" s="64"/>
      <c r="J240" s="64"/>
      <c r="K240" s="47"/>
    </row>
    <row r="241" spans="1:11" ht="15.75" x14ac:dyDescent="0.5">
      <c r="A241" s="102"/>
      <c r="B241" s="242" t="str">
        <f>IF('Fire Resistance '!E87="CMU Single Wythe with a finish on both sides","Equivalent Thickness of Unit","")</f>
        <v>Equivalent Thickness of Unit</v>
      </c>
      <c r="C241" s="242"/>
      <c r="D241" s="64"/>
      <c r="E241" s="20">
        <f>IF('Fire Resistance '!E87="CMU Single Wythe with a finish on both sides",E15,"")</f>
        <v>8</v>
      </c>
      <c r="F241" s="21" t="str">
        <f>IF('Fire Resistance '!$E$87="CMU Single Wythe with a finish on both sides","in.","")</f>
        <v>in.</v>
      </c>
      <c r="G241" s="64"/>
      <c r="H241" s="64"/>
      <c r="I241" s="64"/>
      <c r="J241" s="64"/>
      <c r="K241" s="47"/>
    </row>
    <row r="242" spans="1:11" ht="15.75" x14ac:dyDescent="0.5">
      <c r="A242" s="102"/>
      <c r="B242" s="242" t="str">
        <f>IF('Fire Resistance '!E87="CMU Single Wythe with a finish on both sides","Total Equivalent Thickness","")</f>
        <v>Total Equivalent Thickness</v>
      </c>
      <c r="C242" s="242"/>
      <c r="D242" s="64"/>
      <c r="E242" s="38">
        <f>IF('Fire Resistance '!E87="CMU Single Wythe with a finish on both sides",SUM(E240,E241),"")</f>
        <v>8.5</v>
      </c>
      <c r="F242" s="21" t="str">
        <f>IF('Fire Resistance '!$E$87="CMU Single Wythe with a finish on both sides","in.","")</f>
        <v>in.</v>
      </c>
      <c r="G242" s="64"/>
      <c r="H242" s="64"/>
      <c r="I242" s="64"/>
      <c r="J242" s="64"/>
      <c r="K242" s="47"/>
    </row>
    <row r="243" spans="1:11" ht="15.75" hidden="1" x14ac:dyDescent="0.5">
      <c r="A243" s="48"/>
      <c r="B243" s="98"/>
      <c r="C243" s="112" t="str">
        <f>$C$16</f>
        <v>Max/Min Equivalent Thickness Check</v>
      </c>
      <c r="D243" s="61" t="s">
        <v>12</v>
      </c>
      <c r="E243" s="39"/>
      <c r="F243" s="64"/>
      <c r="G243" s="64"/>
      <c r="H243" s="64"/>
      <c r="I243" s="64"/>
      <c r="J243" s="64"/>
      <c r="K243" s="47"/>
    </row>
    <row r="244" spans="1:11" ht="15.75" hidden="1" x14ac:dyDescent="0.5">
      <c r="A244" s="48" t="str">
        <f>'Fire Resistance '!$A$18</f>
        <v>Calcareous or Siliceous Gravel</v>
      </c>
      <c r="B244" s="98"/>
      <c r="C244" s="99">
        <f>IF($E$242&gt;'Fire Resistance Lookup Graph'!$B3,'Fire Resistance Lookup Graph'!$B3,IF($E$242&lt;'Fire Resistance Lookup Graph'!$P3,'Fire Resistance Lookup Graph'!$P3,$E$242))</f>
        <v>6.2</v>
      </c>
      <c r="D244" s="103">
        <f>0.0765*C244^2+0.1955*C244-0.1732</f>
        <v>3.9795600000000007</v>
      </c>
      <c r="E244" s="39"/>
      <c r="F244" s="64"/>
      <c r="G244" s="64"/>
      <c r="H244" s="64"/>
      <c r="I244" s="64"/>
      <c r="J244" s="64"/>
      <c r="K244" s="47"/>
    </row>
    <row r="245" spans="1:11" ht="15.75" hidden="1" x14ac:dyDescent="0.5">
      <c r="A245" s="48" t="str">
        <f>'Fire Resistance '!$A$19</f>
        <v>Limestone, Cinders or Unexpanded Slag</v>
      </c>
      <c r="B245" s="98"/>
      <c r="C245" s="99">
        <f>IF($E$242&gt;'Fire Resistance Lookup Graph'!$B4,'Fire Resistance Lookup Graph'!$B4,IF($E$242&lt;'Fire Resistance Lookup Graph'!$P4,'Fire Resistance Lookup Graph'!$P4,$E$242))</f>
        <v>5.9</v>
      </c>
      <c r="D245" s="103">
        <f>0.0839*C245^2+0.219*C245-0.2133</f>
        <v>3.9993590000000006</v>
      </c>
      <c r="E245" s="39"/>
      <c r="F245" s="64"/>
      <c r="G245" s="64"/>
      <c r="H245" s="64"/>
      <c r="I245" s="64"/>
      <c r="J245" s="64"/>
      <c r="K245" s="47"/>
    </row>
    <row r="246" spans="1:11" ht="15.75" hidden="1" x14ac:dyDescent="0.5">
      <c r="A246" s="48" t="str">
        <f>'Fire Resistance '!$A$20</f>
        <v>Expanded clay, shale, or slate</v>
      </c>
      <c r="B246" s="98"/>
      <c r="C246" s="99">
        <f>IF($E$242&gt;'Fire Resistance Lookup Graph'!$B5,'Fire Resistance Lookup Graph'!$B5,IF($E$242&lt;'Fire Resistance Lookup Graph'!$P5,'Fire Resistance Lookup Graph'!$P5,$E$242))</f>
        <v>5.0999999999999996</v>
      </c>
      <c r="D246" s="103">
        <f>0.1668*C246^2-0.0765*C246+0.0839</f>
        <v>4.0322180000000003</v>
      </c>
      <c r="E246" s="39"/>
      <c r="F246" s="64"/>
      <c r="G246" s="64"/>
      <c r="H246" s="64"/>
      <c r="I246" s="64"/>
      <c r="J246" s="64"/>
      <c r="K246" s="47"/>
    </row>
    <row r="247" spans="1:11" ht="15.75" hidden="1" x14ac:dyDescent="0.5">
      <c r="A247" s="48" t="str">
        <f>'Fire Resistance '!$A$21</f>
        <v>Expanded slag or pumice</v>
      </c>
      <c r="B247" s="98"/>
      <c r="C247" s="99">
        <f>IF($E$242&gt;'Fire Resistance Lookup Graph'!$B6,'Fire Resistance Lookup Graph'!$B6,IF($E$242&lt;'Fire Resistance Lookup Graph'!$P6,'Fire Resistance Lookup Graph'!$P6,$E$242))</f>
        <v>4.7</v>
      </c>
      <c r="D247" s="103">
        <f>0.1389*C247^2+0.2342*C247-0.1647</f>
        <v>4.0043410000000002</v>
      </c>
      <c r="E247" s="39"/>
      <c r="F247" s="64"/>
      <c r="G247" s="64"/>
      <c r="H247" s="64"/>
      <c r="I247" s="64"/>
      <c r="J247" s="64"/>
      <c r="K247" s="47"/>
    </row>
    <row r="248" spans="1:11" ht="15.75" x14ac:dyDescent="0.5">
      <c r="A248" s="102"/>
      <c r="B248" s="242" t="str">
        <f>IF('Fire Resistance '!E87="CMU Single Wythe with a finish on both sides","Total Non-Fire Side Fire Rating of Unit","")</f>
        <v>Total Non-Fire Side Fire Rating of Unit</v>
      </c>
      <c r="C248" s="242"/>
      <c r="D248" s="64"/>
      <c r="E248" s="38">
        <f>IF('Fire Resistance '!E87="CMU Single Wythe with a finish on both sides",('Fire Resistance '!E18*D244+'Fire Resistance '!E19*D245+'Fire Resistance '!E20*D246+'Fire Resistance '!E21*D247)/100,"")</f>
        <v>3.9986036999999999</v>
      </c>
      <c r="F248" s="21" t="str">
        <f>IF('Fire Resistance '!$E$87="CMU Single Wythe with a finish on both sides","hours","")</f>
        <v>hours</v>
      </c>
      <c r="G248" s="64"/>
      <c r="H248" s="64"/>
      <c r="I248" s="64"/>
      <c r="J248" s="64"/>
      <c r="K248" s="47"/>
    </row>
    <row r="249" spans="1:11" ht="15.75" x14ac:dyDescent="0.5">
      <c r="A249" s="102"/>
      <c r="B249" s="112"/>
      <c r="C249" s="112"/>
      <c r="D249" s="64"/>
      <c r="E249" s="29"/>
      <c r="F249" s="21"/>
      <c r="G249" s="64"/>
      <c r="H249" s="64"/>
      <c r="I249" s="64"/>
      <c r="J249" s="64"/>
      <c r="K249" s="47"/>
    </row>
    <row r="250" spans="1:11" ht="15.75" x14ac:dyDescent="0.5">
      <c r="A250" s="102"/>
      <c r="B250" s="242" t="str">
        <f>IF('Fire Resistance '!E87="CMU Single Wythe with a finish on both sides","Total Fire Rating of Unit","")</f>
        <v>Total Fire Rating of Unit</v>
      </c>
      <c r="C250" s="242"/>
      <c r="D250" s="64"/>
      <c r="E250" s="40">
        <f>IF(AND('Fire Resistance '!E87="CMU Single Wythe with a finish on both sides",'Fire Resistance '!E90="Gypsum Vermiculite or Perlite Plaster", 'Fire Resistance '!E98="Yes"),E248,IF(E237+E248&gt;4,4,SUM(E237,E248)))</f>
        <v>4</v>
      </c>
      <c r="F250" s="21" t="str">
        <f>IF('Fire Resistance '!$E$87="CMU Single Wythe with a finish on both sides","hours","")</f>
        <v>hours</v>
      </c>
      <c r="G250" s="64"/>
      <c r="H250" s="64"/>
      <c r="I250" s="64"/>
      <c r="J250" s="64"/>
      <c r="K250" s="47"/>
    </row>
    <row r="251" spans="1:11" ht="14.65" thickBot="1" x14ac:dyDescent="0.5">
      <c r="A251" s="104"/>
      <c r="B251" s="118"/>
      <c r="C251" s="118"/>
      <c r="D251" s="66"/>
      <c r="E251" s="66"/>
      <c r="F251" s="66"/>
      <c r="G251" s="66"/>
      <c r="H251" s="66"/>
      <c r="I251" s="66"/>
      <c r="J251" s="66"/>
      <c r="K251" s="52"/>
    </row>
    <row r="252" spans="1:11" x14ac:dyDescent="0.45">
      <c r="A252" s="15"/>
      <c r="B252" s="15"/>
      <c r="C252" s="15"/>
      <c r="D252" s="15"/>
      <c r="E252" s="15"/>
      <c r="F252" s="15"/>
      <c r="G252" s="15"/>
      <c r="H252" s="15"/>
      <c r="I252" s="15"/>
      <c r="J252" s="15"/>
      <c r="K252" s="15"/>
    </row>
    <row r="253" spans="1:11" x14ac:dyDescent="0.45">
      <c r="A253" s="15"/>
      <c r="B253" s="15"/>
      <c r="C253" s="15"/>
      <c r="D253" s="15"/>
      <c r="E253" s="15"/>
      <c r="F253" s="15"/>
      <c r="G253" s="15"/>
      <c r="H253" s="15"/>
      <c r="I253" s="15"/>
      <c r="J253" s="15"/>
      <c r="K253" s="15"/>
    </row>
    <row r="254" spans="1:11" x14ac:dyDescent="0.45">
      <c r="A254" s="15"/>
      <c r="B254" s="15"/>
      <c r="C254" s="15"/>
      <c r="D254" s="15"/>
      <c r="E254" s="15"/>
      <c r="F254" s="15"/>
      <c r="G254" s="15"/>
      <c r="H254" s="15"/>
      <c r="I254" s="15"/>
      <c r="J254" s="15"/>
      <c r="K254" s="15"/>
    </row>
  </sheetData>
  <sheetProtection algorithmName="SHA-512" hashValue="E4CtLlYljgULJIrQOX7Ah86KsYNclKFxkqPJrS+Hhc+NqNzpWK/5juGMfX8huFVsEQ4hjErQvmtdehpBEOdveQ==" saltValue="1+AdpQ4TXN06fG7yyxbb+A==" spinCount="100000" sheet="1" objects="1" scenarios="1" selectLockedCells="1" selectUnlockedCells="1"/>
  <mergeCells count="84">
    <mergeCell ref="C207:H207"/>
    <mergeCell ref="C208:D209"/>
    <mergeCell ref="E208:H208"/>
    <mergeCell ref="E209:H209"/>
    <mergeCell ref="C210:D211"/>
    <mergeCell ref="E210:H210"/>
    <mergeCell ref="E211:H211"/>
    <mergeCell ref="B100:D100"/>
    <mergeCell ref="E147:H147"/>
    <mergeCell ref="E146:H146"/>
    <mergeCell ref="D9:E9"/>
    <mergeCell ref="D8:E8"/>
    <mergeCell ref="D10:E10"/>
    <mergeCell ref="D11:E11"/>
    <mergeCell ref="D74:E74"/>
    <mergeCell ref="D75:E75"/>
    <mergeCell ref="D76:E76"/>
    <mergeCell ref="D77:E77"/>
    <mergeCell ref="D105:G105"/>
    <mergeCell ref="H138:K138"/>
    <mergeCell ref="H139:K139"/>
    <mergeCell ref="B102:D102"/>
    <mergeCell ref="H140:K140"/>
    <mergeCell ref="B250:C250"/>
    <mergeCell ref="B241:C241"/>
    <mergeCell ref="B242:C242"/>
    <mergeCell ref="B15:D15"/>
    <mergeCell ref="B22:D22"/>
    <mergeCell ref="B83:D83"/>
    <mergeCell ref="B81:D81"/>
    <mergeCell ref="B239:C239"/>
    <mergeCell ref="B240:C240"/>
    <mergeCell ref="B221:C221"/>
    <mergeCell ref="B166:C166"/>
    <mergeCell ref="C143:H143"/>
    <mergeCell ref="C212:D213"/>
    <mergeCell ref="C214:D215"/>
    <mergeCell ref="B237:C237"/>
    <mergeCell ref="B225:C225"/>
    <mergeCell ref="B248:C248"/>
    <mergeCell ref="A218:K218"/>
    <mergeCell ref="E214:H214"/>
    <mergeCell ref="E215:H215"/>
    <mergeCell ref="E212:H212"/>
    <mergeCell ref="E213:H213"/>
    <mergeCell ref="B232:C232"/>
    <mergeCell ref="B234:C234"/>
    <mergeCell ref="B224:C224"/>
    <mergeCell ref="B223:C223"/>
    <mergeCell ref="B226:C226"/>
    <mergeCell ref="D217:G217"/>
    <mergeCell ref="H202:K202"/>
    <mergeCell ref="H203:K203"/>
    <mergeCell ref="H204:K204"/>
    <mergeCell ref="H201:K201"/>
    <mergeCell ref="D149:G149"/>
    <mergeCell ref="A150:K150"/>
    <mergeCell ref="B159:C159"/>
    <mergeCell ref="B171:C171"/>
    <mergeCell ref="B173:C173"/>
    <mergeCell ref="B169:C169"/>
    <mergeCell ref="E144:H144"/>
    <mergeCell ref="E145:H145"/>
    <mergeCell ref="B153:C153"/>
    <mergeCell ref="B155:C155"/>
    <mergeCell ref="B157:C157"/>
    <mergeCell ref="C144:D145"/>
    <mergeCell ref="C146:D147"/>
    <mergeCell ref="H1:K1"/>
    <mergeCell ref="H2:K2"/>
    <mergeCell ref="H3:K3"/>
    <mergeCell ref="H4:K4"/>
    <mergeCell ref="H137:K137"/>
    <mergeCell ref="H67:K67"/>
    <mergeCell ref="H68:K68"/>
    <mergeCell ref="H69:K69"/>
    <mergeCell ref="H70:K70"/>
    <mergeCell ref="A79:K79"/>
    <mergeCell ref="B90:D90"/>
    <mergeCell ref="A13:K13"/>
    <mergeCell ref="D25:G25"/>
    <mergeCell ref="D7:F7"/>
    <mergeCell ref="B98:D98"/>
    <mergeCell ref="D73:F73"/>
  </mergeCells>
  <conditionalFormatting sqref="E98">
    <cfRule type="expression" dxfId="8" priority="77">
      <formula>$B$98=""</formula>
    </cfRule>
  </conditionalFormatting>
  <conditionalFormatting sqref="E100">
    <cfRule type="expression" dxfId="7" priority="76">
      <formula>$B$100=""</formula>
    </cfRule>
  </conditionalFormatting>
  <conditionalFormatting sqref="E90">
    <cfRule type="expression" dxfId="6" priority="75">
      <formula>$B$90=""</formula>
    </cfRule>
  </conditionalFormatting>
  <conditionalFormatting sqref="D25">
    <cfRule type="containsText" dxfId="5" priority="72" operator="containsText" text="The">
      <formula>NOT(ISERROR(SEARCH("The",D25)))</formula>
    </cfRule>
  </conditionalFormatting>
  <conditionalFormatting sqref="D105">
    <cfRule type="containsText" dxfId="4" priority="3" operator="containsText" text="The">
      <formula>NOT(ISERROR(SEARCH("The",D105)))</formula>
    </cfRule>
  </conditionalFormatting>
  <conditionalFormatting sqref="D217">
    <cfRule type="containsText" dxfId="3" priority="1" operator="containsText" text="The">
      <formula>NOT(ISERROR(SEARCH("The",D217)))</formula>
    </cfRule>
  </conditionalFormatting>
  <conditionalFormatting sqref="D149">
    <cfRule type="containsText" dxfId="2" priority="2" operator="containsText" text="The">
      <formula>NOT(ISERROR(SEARCH("The",D149)))</formula>
    </cfRule>
  </conditionalFormatting>
  <pageMargins left="0.7" right="0.7" top="0.75" bottom="0.75" header="0.3" footer="0.3"/>
  <pageSetup scale="54" fitToHeight="0" orientation="landscape" r:id="rId1"/>
  <headerFooter>
    <oddFooter xml:space="preserve">&amp;LNCMA and the companies disseminating this technical information disclaim any and all responsibility
 and liability for the accuracy and the application of the information contained in this publication.   &amp;RVersion 1.0
&amp;D
&amp;P of &amp;N </oddFooter>
  </headerFooter>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79" id="{84AC6EFE-7F75-4451-A5BB-E7CB4CF3F90B}">
            <xm:f>'Fire Resistance '!$E$87="CMU Single Wythe with finish on one (1) side"</xm:f>
            <x14:dxf>
              <font>
                <color theme="0"/>
              </font>
              <fill>
                <patternFill patternType="none">
                  <bgColor auto="1"/>
                </patternFill>
              </fill>
              <border>
                <left/>
                <right/>
                <top/>
                <bottom/>
              </border>
            </x14:dxf>
          </x14:cfRule>
          <xm:sqref>A218:K251</xm:sqref>
        </x14:conditionalFormatting>
        <x14:conditionalFormatting xmlns:xm="http://schemas.microsoft.com/office/excel/2006/main">
          <x14:cfRule type="expression" priority="78" id="{B9892093-A63A-4FD0-80BE-BE2504FB6B3D}">
            <xm:f>'Fire Resistance '!$E$87="CMU Single Wythe with a finish on both sides"</xm:f>
            <x14:dxf>
              <font>
                <color theme="0"/>
              </font>
              <fill>
                <patternFill patternType="none">
                  <bgColor auto="1"/>
                </patternFill>
              </fill>
              <border>
                <left/>
                <right/>
                <top/>
                <bottom/>
                <vertical/>
                <horizontal/>
              </border>
            </x14:dxf>
          </x14:cfRule>
          <xm:sqref>A150:K174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E115"/>
  <sheetViews>
    <sheetView view="pageLayout" topLeftCell="A56" zoomScale="55" zoomScaleNormal="100" zoomScalePageLayoutView="55" workbookViewId="0">
      <selection activeCell="C118" sqref="C118"/>
    </sheetView>
  </sheetViews>
  <sheetFormatPr defaultColWidth="8.86328125" defaultRowHeight="15.4" x14ac:dyDescent="0.45"/>
  <cols>
    <col min="1" max="1" width="49.796875" style="4" bestFit="1" customWidth="1"/>
    <col min="2" max="2" width="47.33203125" style="4" bestFit="1" customWidth="1"/>
    <col min="3" max="3" width="80.796875" style="4" bestFit="1" customWidth="1"/>
    <col min="4" max="4" width="74.46484375" style="4" bestFit="1" customWidth="1"/>
    <col min="5" max="16384" width="8.86328125" style="4"/>
  </cols>
  <sheetData>
    <row r="1" spans="1:4" x14ac:dyDescent="0.45">
      <c r="A1" s="4" t="s">
        <v>56</v>
      </c>
    </row>
    <row r="2" spans="1:4" x14ac:dyDescent="0.45">
      <c r="A2" s="4" t="s">
        <v>13</v>
      </c>
    </row>
    <row r="3" spans="1:4" x14ac:dyDescent="0.45">
      <c r="B3" s="26" t="s">
        <v>39</v>
      </c>
      <c r="C3" s="263" t="s">
        <v>44</v>
      </c>
      <c r="D3" s="263"/>
    </row>
    <row r="4" spans="1:4" x14ac:dyDescent="0.45">
      <c r="A4" s="7" t="s">
        <v>43</v>
      </c>
      <c r="B4" s="7"/>
      <c r="C4" s="7" t="s">
        <v>42</v>
      </c>
      <c r="D4" s="7" t="s">
        <v>19</v>
      </c>
    </row>
    <row r="5" spans="1:4" x14ac:dyDescent="0.45">
      <c r="A5" s="7" t="s">
        <v>41</v>
      </c>
      <c r="B5" s="7" t="s">
        <v>28</v>
      </c>
      <c r="C5" s="9">
        <v>1</v>
      </c>
      <c r="D5" s="9">
        <f>IF(AND('Fire Resistance '!$E$92="Yes",'Fire Resistance '!$E$102&lt;5/8),1,IF(AND('Fire Resistance '!$E$93=100,'Fire Resistance '!$E$92="No"),0.5,0.75))</f>
        <v>0.75</v>
      </c>
    </row>
    <row r="6" spans="1:4" x14ac:dyDescent="0.45">
      <c r="A6" s="7" t="s">
        <v>41</v>
      </c>
      <c r="B6" s="7" t="s">
        <v>62</v>
      </c>
      <c r="C6" s="9">
        <v>1</v>
      </c>
      <c r="D6" s="9">
        <f>IF(AND('Fire Resistance '!$E$92="Yes",'Fire Resistance '!$E$102&lt;5/8),1,IF(AND('Fire Resistance '!$E$93=100,'Fire Resistance '!$E$92="No"),0.5,0.75))</f>
        <v>0.75</v>
      </c>
    </row>
    <row r="7" spans="1:4" x14ac:dyDescent="0.45">
      <c r="A7" s="7" t="s">
        <v>41</v>
      </c>
      <c r="B7" s="7" t="s">
        <v>16</v>
      </c>
      <c r="C7" s="9">
        <v>1</v>
      </c>
      <c r="D7" s="9">
        <f>IF(AND('Fire Resistance '!$E$92="Yes",'Fire Resistance '!$E$102&lt;5/8),1,IF(AND('Fire Resistance '!$E$93=100,'Fire Resistance '!$E$92="No"),0.5,0.75))</f>
        <v>0.75</v>
      </c>
    </row>
    <row r="8" spans="1:4" x14ac:dyDescent="0.45">
      <c r="A8" s="7" t="s">
        <v>20</v>
      </c>
      <c r="B8" s="7" t="s">
        <v>30</v>
      </c>
      <c r="C8" s="9">
        <v>1.25</v>
      </c>
      <c r="D8" s="9">
        <v>1</v>
      </c>
    </row>
    <row r="9" spans="1:4" x14ac:dyDescent="0.45">
      <c r="A9" s="7" t="s">
        <v>20</v>
      </c>
      <c r="B9" s="7" t="s">
        <v>29</v>
      </c>
      <c r="C9" s="9">
        <v>1.25</v>
      </c>
      <c r="D9" s="9">
        <v>1</v>
      </c>
    </row>
    <row r="10" spans="1:4" x14ac:dyDescent="0.45">
      <c r="A10" s="7" t="s">
        <v>20</v>
      </c>
      <c r="B10" s="7" t="s">
        <v>28</v>
      </c>
      <c r="C10" s="9">
        <v>1.25</v>
      </c>
      <c r="D10" s="9">
        <v>1</v>
      </c>
    </row>
    <row r="11" spans="1:4" x14ac:dyDescent="0.45">
      <c r="A11" s="7" t="s">
        <v>20</v>
      </c>
      <c r="B11" s="7" t="s">
        <v>62</v>
      </c>
      <c r="C11" s="9">
        <v>1.25</v>
      </c>
      <c r="D11" s="9">
        <v>1</v>
      </c>
    </row>
    <row r="12" spans="1:4" x14ac:dyDescent="0.45">
      <c r="A12" s="7" t="s">
        <v>20</v>
      </c>
      <c r="B12" s="7" t="s">
        <v>16</v>
      </c>
      <c r="C12" s="9">
        <v>1.25</v>
      </c>
      <c r="D12" s="9">
        <v>1</v>
      </c>
    </row>
    <row r="13" spans="1:4" x14ac:dyDescent="0.45">
      <c r="A13" s="7" t="s">
        <v>40</v>
      </c>
      <c r="B13" s="7"/>
      <c r="C13" s="9">
        <v>1.75</v>
      </c>
      <c r="D13" s="9">
        <v>1.25</v>
      </c>
    </row>
    <row r="14" spans="1:4" x14ac:dyDescent="0.45">
      <c r="A14" s="7" t="s">
        <v>34</v>
      </c>
      <c r="B14" s="7" t="s">
        <v>37</v>
      </c>
      <c r="C14" s="9">
        <v>3</v>
      </c>
      <c r="D14" s="9">
        <v>2.25</v>
      </c>
    </row>
    <row r="15" spans="1:4" x14ac:dyDescent="0.45">
      <c r="A15" s="7" t="s">
        <v>34</v>
      </c>
      <c r="B15" s="7" t="s">
        <v>30</v>
      </c>
      <c r="C15" s="9">
        <v>3</v>
      </c>
      <c r="D15" s="9">
        <v>2.25</v>
      </c>
    </row>
    <row r="16" spans="1:4" x14ac:dyDescent="0.45">
      <c r="A16" s="7" t="s">
        <v>34</v>
      </c>
      <c r="B16" s="7" t="s">
        <v>29</v>
      </c>
      <c r="C16" s="9">
        <v>3</v>
      </c>
      <c r="D16" s="9">
        <v>2.25</v>
      </c>
    </row>
    <row r="17" spans="1:4" x14ac:dyDescent="0.45">
      <c r="A17" s="7" t="s">
        <v>34</v>
      </c>
      <c r="B17" s="7" t="s">
        <v>36</v>
      </c>
      <c r="C17" s="9">
        <v>3</v>
      </c>
      <c r="D17" s="9">
        <v>2.25</v>
      </c>
    </row>
    <row r="18" spans="1:4" x14ac:dyDescent="0.45">
      <c r="A18" s="7" t="s">
        <v>34</v>
      </c>
      <c r="B18" s="7" t="s">
        <v>35</v>
      </c>
      <c r="C18" s="9">
        <v>3</v>
      </c>
      <c r="D18" s="9">
        <v>2.25</v>
      </c>
    </row>
    <row r="19" spans="1:4" x14ac:dyDescent="0.45">
      <c r="A19" s="7" t="s">
        <v>34</v>
      </c>
      <c r="B19" s="7" t="s">
        <v>33</v>
      </c>
      <c r="C19" s="9">
        <v>3</v>
      </c>
      <c r="D19" s="9">
        <v>2.25</v>
      </c>
    </row>
    <row r="20" spans="1:4" x14ac:dyDescent="0.45">
      <c r="D20" s="37">
        <f>INDEX('Fire Resistance Loop Tables'!$C$5:$D$19,MATCH('Fire Resistance '!$E$90,'Fire Resistance Loop Tables'!$A$5:$A$19,0),MATCH('Fire Resistance '!$E$91,'Fire Resistance Loop Tables'!$C$4:$D$4,0))</f>
        <v>1</v>
      </c>
    </row>
    <row r="21" spans="1:4" x14ac:dyDescent="0.45">
      <c r="A21" s="4" t="s">
        <v>18</v>
      </c>
      <c r="D21" s="37"/>
    </row>
    <row r="22" spans="1:4" x14ac:dyDescent="0.45">
      <c r="B22" s="8" t="s">
        <v>39</v>
      </c>
      <c r="C22" s="8" t="s">
        <v>38</v>
      </c>
    </row>
    <row r="23" spans="1:4" x14ac:dyDescent="0.45">
      <c r="A23" s="7" t="s">
        <v>34</v>
      </c>
      <c r="B23" s="7" t="s">
        <v>37</v>
      </c>
      <c r="C23" s="5">
        <f>10/60</f>
        <v>0.16666666666666666</v>
      </c>
    </row>
    <row r="24" spans="1:4" x14ac:dyDescent="0.45">
      <c r="A24" s="7" t="s">
        <v>34</v>
      </c>
      <c r="B24" s="7" t="s">
        <v>30</v>
      </c>
      <c r="C24" s="5">
        <f>15/60</f>
        <v>0.25</v>
      </c>
    </row>
    <row r="25" spans="1:4" x14ac:dyDescent="0.45">
      <c r="A25" s="7" t="s">
        <v>34</v>
      </c>
      <c r="B25" s="7" t="s">
        <v>29</v>
      </c>
      <c r="C25" s="5">
        <f>20/60</f>
        <v>0.33333333333333331</v>
      </c>
    </row>
    <row r="26" spans="1:4" x14ac:dyDescent="0.45">
      <c r="A26" s="7" t="s">
        <v>34</v>
      </c>
      <c r="B26" s="7" t="s">
        <v>36</v>
      </c>
      <c r="C26" s="5">
        <f>25/60</f>
        <v>0.41666666666666669</v>
      </c>
    </row>
    <row r="27" spans="1:4" x14ac:dyDescent="0.45">
      <c r="A27" s="7" t="s">
        <v>34</v>
      </c>
      <c r="B27" s="7" t="s">
        <v>35</v>
      </c>
      <c r="C27" s="5">
        <f>35/60</f>
        <v>0.58333333333333337</v>
      </c>
    </row>
    <row r="28" spans="1:4" x14ac:dyDescent="0.45">
      <c r="A28" s="7" t="s">
        <v>34</v>
      </c>
      <c r="B28" s="7" t="s">
        <v>33</v>
      </c>
      <c r="C28" s="5">
        <f>40/60</f>
        <v>0.66666666666666663</v>
      </c>
    </row>
    <row r="29" spans="1:4" x14ac:dyDescent="0.45">
      <c r="A29" s="7" t="s">
        <v>69</v>
      </c>
      <c r="B29" s="6" t="s">
        <v>30</v>
      </c>
      <c r="C29" s="5">
        <f>25/60</f>
        <v>0.41666666666666669</v>
      </c>
    </row>
    <row r="30" spans="1:4" x14ac:dyDescent="0.45">
      <c r="A30" s="7" t="s">
        <v>69</v>
      </c>
      <c r="B30" s="6" t="s">
        <v>29</v>
      </c>
      <c r="C30" s="5">
        <f>40/60</f>
        <v>0.66666666666666663</v>
      </c>
    </row>
    <row r="31" spans="1:4" x14ac:dyDescent="0.45">
      <c r="A31" s="7" t="s">
        <v>32</v>
      </c>
      <c r="B31" s="6" t="s">
        <v>31</v>
      </c>
      <c r="C31" s="5">
        <f>(C44*C49+C45*C50+C46*C51+C47*C52)/100</f>
        <v>3.9986036999999999</v>
      </c>
    </row>
    <row r="32" spans="1:4" x14ac:dyDescent="0.45">
      <c r="A32" s="7" t="s">
        <v>17</v>
      </c>
      <c r="B32" s="6" t="s">
        <v>28</v>
      </c>
      <c r="C32" s="5">
        <f>20/60</f>
        <v>0.33333333333333331</v>
      </c>
    </row>
    <row r="33" spans="1:5" x14ac:dyDescent="0.45">
      <c r="A33" s="7" t="s">
        <v>17</v>
      </c>
      <c r="B33" s="6" t="s">
        <v>27</v>
      </c>
      <c r="C33" s="5">
        <f>25/60</f>
        <v>0.41666666666666669</v>
      </c>
    </row>
    <row r="34" spans="1:5" x14ac:dyDescent="0.45">
      <c r="A34" s="7" t="s">
        <v>17</v>
      </c>
      <c r="B34" s="6" t="s">
        <v>16</v>
      </c>
      <c r="C34" s="5">
        <f>30/60</f>
        <v>0.5</v>
      </c>
    </row>
    <row r="35" spans="1:5" x14ac:dyDescent="0.45">
      <c r="A35" s="7" t="s">
        <v>58</v>
      </c>
      <c r="B35" s="6" t="s">
        <v>30</v>
      </c>
      <c r="C35" s="5">
        <f>35/60</f>
        <v>0.58333333333333337</v>
      </c>
    </row>
    <row r="36" spans="1:5" x14ac:dyDescent="0.45">
      <c r="A36" s="7" t="s">
        <v>58</v>
      </c>
      <c r="B36" s="6" t="s">
        <v>29</v>
      </c>
      <c r="C36" s="5">
        <f>40/60</f>
        <v>0.66666666666666663</v>
      </c>
    </row>
    <row r="37" spans="1:5" x14ac:dyDescent="0.45">
      <c r="A37" s="7" t="s">
        <v>58</v>
      </c>
      <c r="B37" s="6" t="s">
        <v>28</v>
      </c>
      <c r="C37" s="5">
        <f>50/60</f>
        <v>0.83333333333333337</v>
      </c>
    </row>
    <row r="38" spans="1:5" x14ac:dyDescent="0.45">
      <c r="A38" s="7" t="s">
        <v>26</v>
      </c>
      <c r="B38" s="6" t="s">
        <v>28</v>
      </c>
      <c r="C38" s="5">
        <f>50/60</f>
        <v>0.83333333333333337</v>
      </c>
    </row>
    <row r="39" spans="1:5" x14ac:dyDescent="0.45">
      <c r="A39" s="7" t="s">
        <v>26</v>
      </c>
      <c r="B39" s="6" t="s">
        <v>27</v>
      </c>
      <c r="C39" s="5">
        <f>60/60</f>
        <v>1</v>
      </c>
    </row>
    <row r="40" spans="1:5" x14ac:dyDescent="0.45">
      <c r="A40" s="7" t="s">
        <v>26</v>
      </c>
      <c r="B40" s="6" t="s">
        <v>16</v>
      </c>
      <c r="C40" s="5">
        <f>80/60</f>
        <v>1.3333333333333333</v>
      </c>
    </row>
    <row r="42" spans="1:5" x14ac:dyDescent="0.45">
      <c r="A42" s="263" t="s">
        <v>61</v>
      </c>
      <c r="B42" s="263"/>
      <c r="C42" s="263"/>
    </row>
    <row r="43" spans="1:5" x14ac:dyDescent="0.45">
      <c r="A43" s="7" t="s">
        <v>67</v>
      </c>
      <c r="B43" s="7">
        <f>IF('Fire Resistance '!E111&gt;5/8,5/8,'Fire Resistance '!E111)</f>
        <v>0</v>
      </c>
      <c r="C43" s="6"/>
    </row>
    <row r="44" spans="1:5" x14ac:dyDescent="0.45">
      <c r="A44" s="30" t="s">
        <v>25</v>
      </c>
      <c r="B44" s="30"/>
      <c r="C44" s="31">
        <f>'Fire Resistance '!$E$18</f>
        <v>35</v>
      </c>
      <c r="E44" s="15"/>
    </row>
    <row r="45" spans="1:5" x14ac:dyDescent="0.45">
      <c r="A45" s="30" t="s">
        <v>24</v>
      </c>
      <c r="B45" s="32"/>
      <c r="C45" s="31">
        <f>'Fire Resistance '!$E$19</f>
        <v>25</v>
      </c>
      <c r="E45" s="15"/>
    </row>
    <row r="46" spans="1:5" x14ac:dyDescent="0.45">
      <c r="A46" s="30" t="s">
        <v>23</v>
      </c>
      <c r="B46" s="32"/>
      <c r="C46" s="31">
        <f>'Fire Resistance '!$E$20</f>
        <v>15</v>
      </c>
      <c r="E46" s="36"/>
    </row>
    <row r="47" spans="1:5" x14ac:dyDescent="0.45">
      <c r="A47" s="30" t="s">
        <v>22</v>
      </c>
      <c r="B47" s="32"/>
      <c r="C47" s="31">
        <f>'Fire Resistance '!$E$21</f>
        <v>25</v>
      </c>
      <c r="E47" s="15"/>
    </row>
    <row r="48" spans="1:5" ht="15.75" x14ac:dyDescent="0.5">
      <c r="A48" s="23"/>
      <c r="B48" s="33" t="s">
        <v>54</v>
      </c>
      <c r="C48" s="34" t="s">
        <v>12</v>
      </c>
    </row>
    <row r="49" spans="1:4" ht="15.75" x14ac:dyDescent="0.5">
      <c r="A49" s="30" t="s">
        <v>25</v>
      </c>
      <c r="B49" s="20">
        <f>IF(SUM($B$43+'Fire Resistance Rating'!$E$15)&gt;'Fire Resistance Lookup Graph'!$B3,'Fire Resistance Lookup Graph'!$B3,IF(SUM($B$43+'Fire Resistance Rating'!$E$15)&lt;'Fire Resistance Lookup Graph'!$P3,'Fire Resistance Lookup Graph'!$P3,SUM($B$43+'Fire Resistance Rating'!$E$15)))</f>
        <v>6.2</v>
      </c>
      <c r="C49" s="22">
        <f>0.0765*$B$49^2+0.1955*$B$49-0.1732</f>
        <v>3.9795600000000007</v>
      </c>
    </row>
    <row r="50" spans="1:4" ht="15.75" x14ac:dyDescent="0.5">
      <c r="A50" s="30" t="s">
        <v>24</v>
      </c>
      <c r="B50" s="20">
        <f>IF(SUM($B$43+'Fire Resistance Rating'!$E$15)&gt;'Fire Resistance Lookup Graph'!$B4,'Fire Resistance Lookup Graph'!$B4,IF(SUM($B$43+'Fire Resistance Rating'!$E$15)&lt;'Fire Resistance Lookup Graph'!$P4,'Fire Resistance Lookup Graph'!$P4,SUM($B$43+'Fire Resistance Rating'!$E$15)))</f>
        <v>5.9</v>
      </c>
      <c r="C50" s="22">
        <f>0.0839*$B$50^2+0.219*$B$50-0.2133</f>
        <v>3.9993590000000006</v>
      </c>
    </row>
    <row r="51" spans="1:4" ht="15.75" x14ac:dyDescent="0.5">
      <c r="A51" s="30" t="s">
        <v>23</v>
      </c>
      <c r="B51" s="20">
        <f>IF(SUM($B$43+'Fire Resistance Rating'!$E$15)&gt;'Fire Resistance Lookup Graph'!$B5,'Fire Resistance Lookup Graph'!$B5,IF(SUM($B$43+'Fire Resistance Rating'!$E$15)&lt;'Fire Resistance Lookup Graph'!$P5,'Fire Resistance Lookup Graph'!$P5,SUM($B$43+'Fire Resistance Rating'!$E$15)))</f>
        <v>5.0999999999999996</v>
      </c>
      <c r="C51" s="22">
        <f>0.1668*$B$51^2-0.0765*$B$51+0.0839</f>
        <v>4.0322180000000003</v>
      </c>
    </row>
    <row r="52" spans="1:4" ht="15.75" x14ac:dyDescent="0.5">
      <c r="A52" s="30" t="s">
        <v>22</v>
      </c>
      <c r="B52" s="20">
        <f>IF(SUM($B$43+'Fire Resistance Rating'!$E$15)&gt;'Fire Resistance Lookup Graph'!$B6,'Fire Resistance Lookup Graph'!$B6,IF(SUM($B$43+'Fire Resistance Rating'!$E$15)&lt;'Fire Resistance Lookup Graph'!$P6,'Fire Resistance Lookup Graph'!$P6,SUM($B$43+'Fire Resistance Rating'!$E$15)))</f>
        <v>4.7</v>
      </c>
      <c r="C52" s="22">
        <f>0.1389*$B$52^2+0.2342*$B$52-0.1647</f>
        <v>4.0043410000000002</v>
      </c>
    </row>
    <row r="55" spans="1:4" x14ac:dyDescent="0.45">
      <c r="A55" s="4" t="s">
        <v>57</v>
      </c>
    </row>
    <row r="56" spans="1:4" x14ac:dyDescent="0.45">
      <c r="A56" s="4" t="s">
        <v>13</v>
      </c>
    </row>
    <row r="57" spans="1:4" x14ac:dyDescent="0.45">
      <c r="B57" s="26" t="s">
        <v>39</v>
      </c>
      <c r="C57" s="263" t="s">
        <v>44</v>
      </c>
      <c r="D57" s="263"/>
    </row>
    <row r="58" spans="1:4" x14ac:dyDescent="0.45">
      <c r="A58" s="7" t="s">
        <v>43</v>
      </c>
      <c r="B58" s="7"/>
      <c r="C58" s="7" t="s">
        <v>42</v>
      </c>
      <c r="D58" s="7" t="s">
        <v>19</v>
      </c>
    </row>
    <row r="59" spans="1:4" x14ac:dyDescent="0.45">
      <c r="A59" s="7" t="s">
        <v>41</v>
      </c>
      <c r="B59" s="7" t="s">
        <v>28</v>
      </c>
      <c r="C59" s="9">
        <v>1</v>
      </c>
      <c r="D59" s="9">
        <f>IF(AND('Fire Resistance '!E96="Portland Cement Sand Plaster",'Fire Resistance '!E98="Yes",'Fire Resistance '!$E$105&lt;5/8),1,IF(AND('Fire Resistance '!$E$99=100,'Fire Resistance '!$E$98="No"),0.5,0.75))</f>
        <v>0.75</v>
      </c>
    </row>
    <row r="60" spans="1:4" x14ac:dyDescent="0.45">
      <c r="A60" s="7" t="s">
        <v>41</v>
      </c>
      <c r="B60" s="7" t="s">
        <v>62</v>
      </c>
      <c r="C60" s="9">
        <v>1</v>
      </c>
      <c r="D60" s="9">
        <f>IF(AND('Fire Resistance '!E96="Portland Cement Sand Plaster",'Fire Resistance '!E98="Yes",'Fire Resistance '!$E$105&lt;5/8),1,IF(AND('Fire Resistance '!$E$99=100,'Fire Resistance '!$E$98="No"),0.5,0.75))</f>
        <v>0.75</v>
      </c>
    </row>
    <row r="61" spans="1:4" x14ac:dyDescent="0.45">
      <c r="A61" s="7" t="s">
        <v>41</v>
      </c>
      <c r="B61" s="7" t="s">
        <v>16</v>
      </c>
      <c r="C61" s="9">
        <v>1</v>
      </c>
      <c r="D61" s="9">
        <f>IF(AND('Fire Resistance '!E96="Portland Cement Sand Plaster",'Fire Resistance '!E98="Yes",'Fire Resistance '!$E$105&lt;5/8),1,IF(AND('Fire Resistance '!$E$99=100,'Fire Resistance '!$E$98="No"),0.5,0.75))</f>
        <v>0.75</v>
      </c>
    </row>
    <row r="62" spans="1:4" x14ac:dyDescent="0.45">
      <c r="A62" s="7" t="s">
        <v>20</v>
      </c>
      <c r="B62" s="7" t="s">
        <v>30</v>
      </c>
      <c r="C62" s="9">
        <v>1.25</v>
      </c>
      <c r="D62" s="9">
        <v>1</v>
      </c>
    </row>
    <row r="63" spans="1:4" x14ac:dyDescent="0.45">
      <c r="A63" s="7" t="s">
        <v>20</v>
      </c>
      <c r="B63" s="7" t="s">
        <v>29</v>
      </c>
      <c r="C63" s="9">
        <v>1.25</v>
      </c>
      <c r="D63" s="9">
        <v>1</v>
      </c>
    </row>
    <row r="64" spans="1:4" x14ac:dyDescent="0.45">
      <c r="A64" s="7" t="s">
        <v>20</v>
      </c>
      <c r="B64" s="7" t="s">
        <v>28</v>
      </c>
      <c r="C64" s="9">
        <v>1.25</v>
      </c>
      <c r="D64" s="9">
        <v>1</v>
      </c>
    </row>
    <row r="65" spans="1:4" x14ac:dyDescent="0.45">
      <c r="A65" s="7" t="s">
        <v>20</v>
      </c>
      <c r="B65" s="7" t="s">
        <v>62</v>
      </c>
      <c r="C65" s="9">
        <v>1.25</v>
      </c>
      <c r="D65" s="9">
        <v>1</v>
      </c>
    </row>
    <row r="66" spans="1:4" x14ac:dyDescent="0.45">
      <c r="A66" s="7" t="s">
        <v>20</v>
      </c>
      <c r="B66" s="7" t="s">
        <v>16</v>
      </c>
      <c r="C66" s="9">
        <v>1.25</v>
      </c>
      <c r="D66" s="9">
        <v>1</v>
      </c>
    </row>
    <row r="67" spans="1:4" x14ac:dyDescent="0.45">
      <c r="A67" s="7" t="s">
        <v>40</v>
      </c>
      <c r="B67" s="7"/>
      <c r="C67" s="9">
        <v>1.75</v>
      </c>
      <c r="D67" s="9">
        <v>1.25</v>
      </c>
    </row>
    <row r="68" spans="1:4" x14ac:dyDescent="0.45">
      <c r="A68" s="7" t="s">
        <v>34</v>
      </c>
      <c r="B68" s="7" t="s">
        <v>37</v>
      </c>
      <c r="C68" s="9">
        <v>3</v>
      </c>
      <c r="D68" s="9">
        <v>2.25</v>
      </c>
    </row>
    <row r="69" spans="1:4" x14ac:dyDescent="0.45">
      <c r="A69" s="7" t="s">
        <v>34</v>
      </c>
      <c r="B69" s="7" t="s">
        <v>30</v>
      </c>
      <c r="C69" s="9">
        <v>3</v>
      </c>
      <c r="D69" s="9">
        <v>2.25</v>
      </c>
    </row>
    <row r="70" spans="1:4" x14ac:dyDescent="0.45">
      <c r="A70" s="7" t="s">
        <v>34</v>
      </c>
      <c r="B70" s="7" t="s">
        <v>29</v>
      </c>
      <c r="C70" s="9">
        <v>3</v>
      </c>
      <c r="D70" s="9">
        <v>2.25</v>
      </c>
    </row>
    <row r="71" spans="1:4" x14ac:dyDescent="0.45">
      <c r="A71" s="7" t="s">
        <v>34</v>
      </c>
      <c r="B71" s="7" t="s">
        <v>36</v>
      </c>
      <c r="C71" s="9">
        <v>3</v>
      </c>
      <c r="D71" s="9">
        <v>2.25</v>
      </c>
    </row>
    <row r="72" spans="1:4" x14ac:dyDescent="0.45">
      <c r="A72" s="7" t="s">
        <v>34</v>
      </c>
      <c r="B72" s="7" t="s">
        <v>35</v>
      </c>
      <c r="C72" s="9">
        <v>3</v>
      </c>
      <c r="D72" s="9">
        <v>2.25</v>
      </c>
    </row>
    <row r="73" spans="1:4" x14ac:dyDescent="0.45">
      <c r="A73" s="7" t="s">
        <v>34</v>
      </c>
      <c r="B73" s="7" t="s">
        <v>33</v>
      </c>
      <c r="C73" s="9">
        <v>3</v>
      </c>
      <c r="D73" s="9">
        <v>2.25</v>
      </c>
    </row>
    <row r="74" spans="1:4" x14ac:dyDescent="0.45">
      <c r="D74" s="37">
        <f>INDEX('Fire Resistance Loop Tables'!$C$59:$D$73,MATCH('Fire Resistance '!$E$96,'Fire Resistance Loop Tables'!$A$59:$A$73,0),MATCH('Fire Resistance '!$E$97,'Fire Resistance Loop Tables'!$C$58:$D$58,0))</f>
        <v>1.25</v>
      </c>
    </row>
    <row r="75" spans="1:4" x14ac:dyDescent="0.45">
      <c r="A75" s="4" t="s">
        <v>18</v>
      </c>
    </row>
    <row r="76" spans="1:4" x14ac:dyDescent="0.45">
      <c r="B76" s="26" t="s">
        <v>39</v>
      </c>
      <c r="C76" s="26" t="s">
        <v>38</v>
      </c>
    </row>
    <row r="77" spans="1:4" x14ac:dyDescent="0.45">
      <c r="A77" s="7" t="s">
        <v>34</v>
      </c>
      <c r="B77" s="7" t="s">
        <v>37</v>
      </c>
      <c r="C77" s="5">
        <f>10/60</f>
        <v>0.16666666666666666</v>
      </c>
    </row>
    <row r="78" spans="1:4" ht="15.75" x14ac:dyDescent="0.5">
      <c r="A78" s="7" t="s">
        <v>34</v>
      </c>
      <c r="B78" s="7" t="s">
        <v>30</v>
      </c>
      <c r="C78" s="5">
        <f>15/60</f>
        <v>0.25</v>
      </c>
      <c r="D78" s="29"/>
    </row>
    <row r="79" spans="1:4" x14ac:dyDescent="0.45">
      <c r="A79" s="7" t="s">
        <v>34</v>
      </c>
      <c r="B79" s="7" t="s">
        <v>29</v>
      </c>
      <c r="C79" s="5">
        <f>20/60</f>
        <v>0.33333333333333331</v>
      </c>
    </row>
    <row r="80" spans="1:4" x14ac:dyDescent="0.45">
      <c r="A80" s="7" t="s">
        <v>34</v>
      </c>
      <c r="B80" s="7" t="s">
        <v>36</v>
      </c>
      <c r="C80" s="5">
        <f>25/60</f>
        <v>0.41666666666666669</v>
      </c>
    </row>
    <row r="81" spans="1:3" x14ac:dyDescent="0.45">
      <c r="A81" s="7" t="s">
        <v>34</v>
      </c>
      <c r="B81" s="7" t="s">
        <v>35</v>
      </c>
      <c r="C81" s="5">
        <f>35/60</f>
        <v>0.58333333333333337</v>
      </c>
    </row>
    <row r="82" spans="1:3" x14ac:dyDescent="0.45">
      <c r="A82" s="7" t="s">
        <v>34</v>
      </c>
      <c r="B82" s="7" t="s">
        <v>33</v>
      </c>
      <c r="C82" s="5">
        <f>40/60</f>
        <v>0.66666666666666663</v>
      </c>
    </row>
    <row r="83" spans="1:3" x14ac:dyDescent="0.45">
      <c r="A83" s="7" t="s">
        <v>69</v>
      </c>
      <c r="B83" s="6" t="s">
        <v>30</v>
      </c>
      <c r="C83" s="5">
        <f>25/60</f>
        <v>0.41666666666666669</v>
      </c>
    </row>
    <row r="84" spans="1:3" x14ac:dyDescent="0.45">
      <c r="A84" s="7" t="s">
        <v>69</v>
      </c>
      <c r="B84" s="6" t="s">
        <v>29</v>
      </c>
      <c r="C84" s="5">
        <f>40/60</f>
        <v>0.66666666666666663</v>
      </c>
    </row>
    <row r="85" spans="1:3" x14ac:dyDescent="0.45">
      <c r="A85" s="7" t="s">
        <v>32</v>
      </c>
      <c r="B85" s="6" t="s">
        <v>31</v>
      </c>
      <c r="C85" s="5">
        <f>(C99*C104+C100*C105+C101*C106+C102*C107)/100</f>
        <v>3.9986036999999999</v>
      </c>
    </row>
    <row r="86" spans="1:3" x14ac:dyDescent="0.45">
      <c r="A86" s="7" t="s">
        <v>17</v>
      </c>
      <c r="B86" s="6" t="s">
        <v>28</v>
      </c>
      <c r="C86" s="5">
        <f>20/60</f>
        <v>0.33333333333333331</v>
      </c>
    </row>
    <row r="87" spans="1:3" x14ac:dyDescent="0.45">
      <c r="A87" s="7" t="s">
        <v>17</v>
      </c>
      <c r="B87" s="6" t="s">
        <v>27</v>
      </c>
      <c r="C87" s="5">
        <f>25/60</f>
        <v>0.41666666666666669</v>
      </c>
    </row>
    <row r="88" spans="1:3" x14ac:dyDescent="0.45">
      <c r="A88" s="7" t="s">
        <v>17</v>
      </c>
      <c r="B88" s="6" t="s">
        <v>16</v>
      </c>
      <c r="C88" s="5">
        <f>30/60</f>
        <v>0.5</v>
      </c>
    </row>
    <row r="89" spans="1:3" x14ac:dyDescent="0.45">
      <c r="A89" s="7" t="s">
        <v>58</v>
      </c>
      <c r="B89" s="6" t="s">
        <v>30</v>
      </c>
      <c r="C89" s="5">
        <f>35/60</f>
        <v>0.58333333333333337</v>
      </c>
    </row>
    <row r="90" spans="1:3" x14ac:dyDescent="0.45">
      <c r="A90" s="7" t="s">
        <v>58</v>
      </c>
      <c r="B90" s="6" t="s">
        <v>29</v>
      </c>
      <c r="C90" s="5">
        <f>40/60</f>
        <v>0.66666666666666663</v>
      </c>
    </row>
    <row r="91" spans="1:3" x14ac:dyDescent="0.45">
      <c r="A91" s="7" t="s">
        <v>58</v>
      </c>
      <c r="B91" s="6" t="s">
        <v>28</v>
      </c>
      <c r="C91" s="5">
        <f>50/60</f>
        <v>0.83333333333333337</v>
      </c>
    </row>
    <row r="92" spans="1:3" x14ac:dyDescent="0.45">
      <c r="A92" s="7" t="s">
        <v>26</v>
      </c>
      <c r="B92" s="6" t="s">
        <v>28</v>
      </c>
      <c r="C92" s="5">
        <f>50/60</f>
        <v>0.83333333333333337</v>
      </c>
    </row>
    <row r="93" spans="1:3" x14ac:dyDescent="0.45">
      <c r="A93" s="7" t="s">
        <v>26</v>
      </c>
      <c r="B93" s="6" t="s">
        <v>27</v>
      </c>
      <c r="C93" s="5">
        <f>60/60</f>
        <v>1</v>
      </c>
    </row>
    <row r="94" spans="1:3" x14ac:dyDescent="0.45">
      <c r="A94" s="7" t="s">
        <v>26</v>
      </c>
      <c r="B94" s="6" t="s">
        <v>16</v>
      </c>
      <c r="C94" s="5">
        <f>80/60</f>
        <v>1.3333333333333333</v>
      </c>
    </row>
    <row r="97" spans="1:3" x14ac:dyDescent="0.45">
      <c r="A97" s="263" t="s">
        <v>61</v>
      </c>
      <c r="B97" s="263"/>
      <c r="C97" s="263"/>
    </row>
    <row r="98" spans="1:3" x14ac:dyDescent="0.45">
      <c r="A98" s="7" t="s">
        <v>60</v>
      </c>
      <c r="B98" s="7">
        <f>IF('Fire Resistance '!E115&lt;5/8,'Fire Resistance '!E115,5/8)</f>
        <v>0</v>
      </c>
      <c r="C98" s="6"/>
    </row>
    <row r="99" spans="1:3" x14ac:dyDescent="0.45">
      <c r="A99" s="30" t="s">
        <v>25</v>
      </c>
      <c r="C99" s="31">
        <f>'Fire Resistance '!$E$18</f>
        <v>35</v>
      </c>
    </row>
    <row r="100" spans="1:3" x14ac:dyDescent="0.45">
      <c r="A100" s="30" t="s">
        <v>24</v>
      </c>
      <c r="B100" s="32"/>
      <c r="C100" s="31">
        <f>'Fire Resistance '!$E$19</f>
        <v>25</v>
      </c>
    </row>
    <row r="101" spans="1:3" x14ac:dyDescent="0.45">
      <c r="A101" s="30" t="s">
        <v>23</v>
      </c>
      <c r="B101" s="32"/>
      <c r="C101" s="31">
        <f>'Fire Resistance '!$E$20</f>
        <v>15</v>
      </c>
    </row>
    <row r="102" spans="1:3" x14ac:dyDescent="0.45">
      <c r="A102" s="30" t="s">
        <v>22</v>
      </c>
      <c r="B102" s="30"/>
      <c r="C102" s="31">
        <f>'Fire Resistance '!$E$21</f>
        <v>25</v>
      </c>
    </row>
    <row r="103" spans="1:3" ht="15.75" x14ac:dyDescent="0.5">
      <c r="A103" s="23"/>
      <c r="B103" s="33" t="s">
        <v>54</v>
      </c>
      <c r="C103" s="34" t="s">
        <v>12</v>
      </c>
    </row>
    <row r="104" spans="1:3" ht="15.75" x14ac:dyDescent="0.5">
      <c r="A104" s="30" t="s">
        <v>25</v>
      </c>
      <c r="B104" s="20">
        <f>IF(SUM($B$98+'Fire Resistance Rating'!$E$15)&gt;'Fire Resistance Lookup Graph'!$B3,'Fire Resistance Lookup Graph'!$B3,IF(SUM($B$98+'Fire Resistance Rating'!$E$15)&lt;'Fire Resistance Lookup Graph'!$P3,'Fire Resistance Lookup Graph'!$P3,SUM($B$98+'Fire Resistance Rating'!$E$15)))</f>
        <v>6.2</v>
      </c>
      <c r="C104" s="22">
        <f>0.0765*$B104^2+0.1955*$B104-0.1732</f>
        <v>3.9795600000000007</v>
      </c>
    </row>
    <row r="105" spans="1:3" ht="15.75" x14ac:dyDescent="0.5">
      <c r="A105" s="30" t="s">
        <v>24</v>
      </c>
      <c r="B105" s="20">
        <f>IF(SUM($B$98+'Fire Resistance Rating'!$E$15)&gt;'Fire Resistance Lookup Graph'!$B4,'Fire Resistance Lookup Graph'!$B4,IF(SUM($B$98+'Fire Resistance Rating'!$E$15)&lt;'Fire Resistance Lookup Graph'!$P4,'Fire Resistance Lookup Graph'!$P4,SUM($B$98+'Fire Resistance Rating'!$E$15)))</f>
        <v>5.9</v>
      </c>
      <c r="C105" s="22">
        <f>0.0839*$B$105^2+0.219*$B$105-0.2133</f>
        <v>3.9993590000000006</v>
      </c>
    </row>
    <row r="106" spans="1:3" ht="15.75" x14ac:dyDescent="0.5">
      <c r="A106" s="30" t="s">
        <v>23</v>
      </c>
      <c r="B106" s="20">
        <f>IF(SUM($B$98+'Fire Resistance Rating'!$E$15)&gt;'Fire Resistance Lookup Graph'!$B5,'Fire Resistance Lookup Graph'!$B5,IF(SUM($B$98+'Fire Resistance Rating'!$E$15)&lt;'Fire Resistance Lookup Graph'!$P5,'Fire Resistance Lookup Graph'!$P5,SUM($B$98+'Fire Resistance Rating'!$E$15)))</f>
        <v>5.0999999999999996</v>
      </c>
      <c r="C106" s="22">
        <f>0.1668*$B$106^2-0.0765*$B$106+0.0839</f>
        <v>4.0322180000000003</v>
      </c>
    </row>
    <row r="107" spans="1:3" ht="15.75" x14ac:dyDescent="0.5">
      <c r="A107" s="30" t="s">
        <v>22</v>
      </c>
      <c r="B107" s="20">
        <f>IF(SUM($B$98+'Fire Resistance Rating'!$E$15)&gt;'Fire Resistance Lookup Graph'!$B6,'Fire Resistance Lookup Graph'!$B6,IF(SUM($B$98+'Fire Resistance Rating'!$E$15)&lt;'Fire Resistance Lookup Graph'!$P6,'Fire Resistance Lookup Graph'!$P6,SUM($B$98+'Fire Resistance Rating'!$E$15)))</f>
        <v>4.7</v>
      </c>
      <c r="C107" s="22">
        <f>0.1389*$B$107^2+0.2342*$B$107-0.1647</f>
        <v>4.0043410000000002</v>
      </c>
    </row>
    <row r="114" spans="1:3" x14ac:dyDescent="0.45">
      <c r="A114" s="4" t="s">
        <v>108</v>
      </c>
      <c r="C114" s="219" t="e">
        <f t="array" ref="C114">IF('Fire Resistance '!$E$87="CMU Single Wythe with a finish on both sides",IF(AND('Fire Resistance '!E92="Yes",'Fire Resistance '!E96="Gypsum Vermiculite or Perlite Plaster"),"Accounted for in thickness",IF('Fire Resistance '!E90="Gypsum Vermiculite or Perlite Plaster",0,INDEX('Fire Resistance Loop Tables'!$C$77:$C$94,MATCH('Fire Resistance '!$E$109&amp;'Fire Resistance '!$E$110,'Fire Resistance Loop Tables'!$A$77:$A$94&amp;'Fire Resistance Loop Tables'!$B$77:$B$94,0)))))</f>
        <v>#N/A</v>
      </c>
    </row>
    <row r="115" spans="1:3" x14ac:dyDescent="0.45">
      <c r="A115" s="4" t="s">
        <v>109</v>
      </c>
      <c r="C115" s="219">
        <f t="array" ref="C115">IF('Fire Resistance '!E87="CMU Single Wythe with a finish on both sides",IF(AND('Fire Resistance '!E90="Gypsum Vermiculite or Perlite Plaster",'Fire Resistance '!E98="Yes"),"Accounted for in thickness below",IF('Fire Resistance '!E96="Gypsum Vermiculite or Perlite Plaster",0,INDEX('Fire Resistance Loop Tables'!C77:C94,MATCH('Fire Resistance '!$E$113&amp;'Fire Resistance '!E114,'Fire Resistance Loop Tables'!A77:A94&amp;'Fire Resistance Loop Tables'!B77:B94,0)))))</f>
        <v>0.58333333333333337</v>
      </c>
    </row>
  </sheetData>
  <mergeCells count="4">
    <mergeCell ref="A97:C97"/>
    <mergeCell ref="C3:D3"/>
    <mergeCell ref="C57:D57"/>
    <mergeCell ref="A42:C42"/>
  </mergeCells>
  <pageMargins left="0.7" right="0.7" top="0.75" bottom="0.75" header="0.3" footer="0.3"/>
  <pageSetup scale="35" fitToHeight="0" orientation="portrait" r:id="rId1"/>
  <headerFooter>
    <oddFooter>&amp;LNCMA and the companies disseminating this technical information disclaim any and all responsibility and liability for the accuracy and the application of the information contained in this publication.   &amp;RVersion 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P49"/>
  <sheetViews>
    <sheetView view="pageLayout" topLeftCell="A4" zoomScale="85" zoomScaleNormal="100" zoomScalePageLayoutView="85" workbookViewId="0">
      <selection activeCell="B48" sqref="B48"/>
    </sheetView>
  </sheetViews>
  <sheetFormatPr defaultColWidth="8.86328125" defaultRowHeight="15.4" x14ac:dyDescent="0.45"/>
  <cols>
    <col min="1" max="1" width="39.53125" style="3" bestFit="1" customWidth="1"/>
    <col min="2" max="16384" width="8.86328125" style="3"/>
  </cols>
  <sheetData>
    <row r="1" spans="1:16" x14ac:dyDescent="0.45">
      <c r="A1" s="3" t="s">
        <v>8</v>
      </c>
    </row>
    <row r="2" spans="1:16" x14ac:dyDescent="0.45">
      <c r="B2" s="14">
        <v>4</v>
      </c>
      <c r="C2" s="14">
        <v>3.75</v>
      </c>
      <c r="D2" s="14">
        <v>3.5</v>
      </c>
      <c r="E2" s="14">
        <v>3.25</v>
      </c>
      <c r="F2" s="14">
        <v>3</v>
      </c>
      <c r="G2" s="14">
        <v>2.75</v>
      </c>
      <c r="H2" s="14">
        <v>2.5</v>
      </c>
      <c r="I2" s="14">
        <v>2.25</v>
      </c>
      <c r="J2" s="14">
        <v>2</v>
      </c>
      <c r="K2" s="14">
        <v>1.75</v>
      </c>
      <c r="L2" s="14">
        <v>1.5</v>
      </c>
      <c r="M2" s="14">
        <v>1.25</v>
      </c>
      <c r="N2" s="14">
        <v>1</v>
      </c>
      <c r="O2" s="14">
        <v>0.75</v>
      </c>
      <c r="P2" s="14">
        <v>0.5</v>
      </c>
    </row>
    <row r="3" spans="1:16" x14ac:dyDescent="0.45">
      <c r="A3" s="12" t="str">
        <f>'Fire Resistance '!A18</f>
        <v>Calcareous or Siliceous Gravel</v>
      </c>
      <c r="B3" s="11">
        <v>6.2</v>
      </c>
      <c r="C3" s="11">
        <v>6</v>
      </c>
      <c r="D3" s="11">
        <v>5.8</v>
      </c>
      <c r="E3" s="11">
        <v>5.5</v>
      </c>
      <c r="F3" s="11">
        <v>5.3</v>
      </c>
      <c r="G3" s="11">
        <v>5</v>
      </c>
      <c r="H3" s="11">
        <v>4.8</v>
      </c>
      <c r="I3" s="11">
        <v>4.5</v>
      </c>
      <c r="J3" s="11">
        <v>4.2</v>
      </c>
      <c r="K3" s="11">
        <v>3.9</v>
      </c>
      <c r="L3" s="11">
        <v>3.6</v>
      </c>
      <c r="M3" s="11">
        <v>3.2</v>
      </c>
      <c r="N3" s="11">
        <v>2.8</v>
      </c>
      <c r="O3" s="11">
        <v>2.4</v>
      </c>
      <c r="P3" s="11">
        <v>2</v>
      </c>
    </row>
    <row r="4" spans="1:16" x14ac:dyDescent="0.45">
      <c r="A4" s="12" t="str">
        <f>'Fire Resistance '!A19</f>
        <v>Limestone, Cinders or Unexpanded Slag</v>
      </c>
      <c r="B4" s="11">
        <v>5.9</v>
      </c>
      <c r="C4" s="11">
        <v>5.7</v>
      </c>
      <c r="D4" s="11">
        <v>5.5</v>
      </c>
      <c r="E4" s="11">
        <v>5.2</v>
      </c>
      <c r="F4" s="11">
        <v>5</v>
      </c>
      <c r="G4" s="11">
        <v>4.8</v>
      </c>
      <c r="H4" s="11">
        <v>4.5</v>
      </c>
      <c r="I4" s="11">
        <v>4.3</v>
      </c>
      <c r="J4" s="11">
        <v>4</v>
      </c>
      <c r="K4" s="11">
        <v>3.7</v>
      </c>
      <c r="L4" s="11">
        <v>3.4</v>
      </c>
      <c r="M4" s="11">
        <v>3.1</v>
      </c>
      <c r="N4" s="11">
        <v>2.7</v>
      </c>
      <c r="O4" s="11">
        <v>2.2999999999999998</v>
      </c>
      <c r="P4" s="11">
        <v>1.9</v>
      </c>
    </row>
    <row r="5" spans="1:16" x14ac:dyDescent="0.45">
      <c r="A5" s="12" t="str">
        <f>'Fire Resistance '!A20</f>
        <v>Expanded clay, shale, or slate</v>
      </c>
      <c r="B5" s="11">
        <v>5.0999999999999996</v>
      </c>
      <c r="C5" s="11">
        <v>4.9000000000000004</v>
      </c>
      <c r="D5" s="11">
        <v>4.8</v>
      </c>
      <c r="E5" s="11">
        <v>4.5999999999999996</v>
      </c>
      <c r="F5" s="11">
        <v>4.4000000000000004</v>
      </c>
      <c r="G5" s="11">
        <v>4.2</v>
      </c>
      <c r="H5" s="11">
        <v>4</v>
      </c>
      <c r="I5" s="11">
        <v>3.8</v>
      </c>
      <c r="J5" s="11">
        <v>3.6</v>
      </c>
      <c r="K5" s="11">
        <v>3.4</v>
      </c>
      <c r="L5" s="11">
        <v>3.3</v>
      </c>
      <c r="M5" s="11">
        <v>2.9</v>
      </c>
      <c r="N5" s="11">
        <v>2.6</v>
      </c>
      <c r="O5" s="11">
        <v>2.2000000000000002</v>
      </c>
      <c r="P5" s="11">
        <v>1.8</v>
      </c>
    </row>
    <row r="6" spans="1:16" x14ac:dyDescent="0.45">
      <c r="A6" s="12" t="str">
        <f>'Fire Resistance '!A21</f>
        <v>Expanded slag or pumice</v>
      </c>
      <c r="B6" s="11">
        <v>4.7</v>
      </c>
      <c r="C6" s="11">
        <v>4.5</v>
      </c>
      <c r="D6" s="11">
        <v>4.4000000000000004</v>
      </c>
      <c r="E6" s="11">
        <v>4.2</v>
      </c>
      <c r="F6" s="11">
        <v>4</v>
      </c>
      <c r="G6" s="11">
        <v>3.8</v>
      </c>
      <c r="H6" s="11">
        <v>3.6</v>
      </c>
      <c r="I6" s="11">
        <v>3.4</v>
      </c>
      <c r="J6" s="11">
        <v>3.2</v>
      </c>
      <c r="K6" s="11">
        <v>3</v>
      </c>
      <c r="L6" s="11">
        <v>2.7</v>
      </c>
      <c r="M6" s="11">
        <v>2.5</v>
      </c>
      <c r="N6" s="11">
        <v>2.1</v>
      </c>
      <c r="O6" s="11">
        <v>1.9</v>
      </c>
      <c r="P6" s="11">
        <v>1.5</v>
      </c>
    </row>
    <row r="46" spans="1:16" x14ac:dyDescent="0.45">
      <c r="B46" s="14">
        <v>4</v>
      </c>
      <c r="C46" s="14">
        <v>3</v>
      </c>
      <c r="D46" s="14">
        <v>2</v>
      </c>
      <c r="E46" s="14">
        <v>1</v>
      </c>
      <c r="F46" s="13"/>
      <c r="G46" s="13"/>
      <c r="H46" s="13"/>
      <c r="I46" s="13"/>
      <c r="J46" s="13"/>
      <c r="K46" s="13"/>
      <c r="L46" s="13"/>
      <c r="M46" s="13"/>
      <c r="N46" s="13"/>
      <c r="O46" s="13"/>
      <c r="P46" s="13"/>
    </row>
    <row r="47" spans="1:16" x14ac:dyDescent="0.45">
      <c r="A47" s="12" t="s">
        <v>45</v>
      </c>
      <c r="B47" s="11">
        <v>6</v>
      </c>
      <c r="C47" s="11">
        <v>4.9000000000000004</v>
      </c>
      <c r="D47" s="11">
        <v>3.8</v>
      </c>
      <c r="E47" s="11">
        <v>2.7</v>
      </c>
      <c r="F47" s="10"/>
      <c r="G47" s="10"/>
      <c r="H47" s="10"/>
      <c r="I47" s="10"/>
      <c r="J47" s="10"/>
      <c r="K47" s="10"/>
      <c r="L47" s="10"/>
      <c r="M47" s="10"/>
      <c r="N47" s="10"/>
      <c r="O47" s="10"/>
      <c r="P47" s="10"/>
    </row>
    <row r="48" spans="1:16" x14ac:dyDescent="0.45">
      <c r="A48" s="12" t="s">
        <v>0</v>
      </c>
      <c r="B48" s="11">
        <v>5</v>
      </c>
      <c r="C48" s="11">
        <v>4.3</v>
      </c>
      <c r="D48" s="11">
        <v>3.4</v>
      </c>
      <c r="E48" s="11">
        <v>2.2999999999999998</v>
      </c>
      <c r="F48" s="10"/>
      <c r="G48" s="10"/>
      <c r="H48" s="10"/>
      <c r="I48" s="10"/>
      <c r="J48" s="10"/>
      <c r="K48" s="10"/>
      <c r="L48" s="10"/>
      <c r="M48" s="10"/>
      <c r="N48" s="10"/>
      <c r="O48" s="10"/>
      <c r="P48" s="10"/>
    </row>
    <row r="49" spans="1:16" x14ac:dyDescent="0.45">
      <c r="A49" s="12" t="s">
        <v>14</v>
      </c>
      <c r="B49" s="11">
        <v>6.6</v>
      </c>
      <c r="C49" s="11">
        <v>5.5</v>
      </c>
      <c r="D49" s="11">
        <v>4.4000000000000004</v>
      </c>
      <c r="E49" s="11">
        <v>3</v>
      </c>
      <c r="F49" s="10"/>
      <c r="G49" s="10"/>
      <c r="H49" s="10"/>
      <c r="I49" s="10"/>
      <c r="J49" s="10"/>
      <c r="K49" s="10"/>
      <c r="L49" s="10"/>
      <c r="M49" s="10"/>
      <c r="N49" s="10"/>
      <c r="O49" s="10"/>
      <c r="P49" s="10"/>
    </row>
  </sheetData>
  <pageMargins left="0.7" right="0.7" top="0.75" bottom="0.75" header="0.3" footer="0.3"/>
  <pageSetup scale="70" fitToHeight="0" orientation="landscape" r:id="rId1"/>
  <headerFooter>
    <oddFooter>&amp;LNCMA and the companies disseminating this technical information disclaim any and all responsibility and liability for the accuracy and the application of the information contained in this publication.   &amp;RVersion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Fire Resistance </vt:lpstr>
      <vt:lpstr>Fire Resistance Rating</vt:lpstr>
      <vt:lpstr>Fire Resistance Loop Tables</vt:lpstr>
      <vt:lpstr>Fire Resistance Lookup Graph</vt:lpstr>
    </vt:vector>
  </TitlesOfParts>
  <Company>NCMA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Morrison</dc:creator>
  <cp:lastModifiedBy>Amanda Bedian</cp:lastModifiedBy>
  <cp:lastPrinted>2016-11-15T12:17:24Z</cp:lastPrinted>
  <dcterms:created xsi:type="dcterms:W3CDTF">2016-05-17T12:53:21Z</dcterms:created>
  <dcterms:modified xsi:type="dcterms:W3CDTF">2021-02-16T18:25:29Z</dcterms:modified>
</cp:coreProperties>
</file>