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codeName="ThisWorkbook" defaultThemeVersion="124226"/>
  <mc:AlternateContent xmlns:mc="http://schemas.openxmlformats.org/markup-compatibility/2006">
    <mc:Choice Requires="x15">
      <x15ac:absPath xmlns:x15ac="http://schemas.microsoft.com/office/spreadsheetml/2010/11/ac" url="C:\Users\amandab\Documents\MIM\Calculators\"/>
    </mc:Choice>
  </mc:AlternateContent>
  <xr:revisionPtr revIDLastSave="0" documentId="8_{B3527826-D478-45BC-B28A-7A5B3D47D3E9}" xr6:coauthVersionLast="46" xr6:coauthVersionMax="46" xr10:uidLastSave="{00000000-0000-0000-0000-000000000000}"/>
  <bookViews>
    <workbookView xWindow="-98" yWindow="-98" windowWidth="20715" windowHeight="13276" tabRatio="715" xr2:uid="{00000000-000D-0000-FFFF-FFFF00000000}"/>
  </bookViews>
  <sheets>
    <sheet name="Instructions and Help" sheetId="9" r:id="rId1"/>
    <sheet name="Input (3 Layer)" sheetId="1" r:id="rId2"/>
    <sheet name="Input (4 layer)" sheetId="6" r:id="rId3"/>
    <sheet name="Output" sheetId="3" r:id="rId4"/>
    <sheet name="CMU Calculations (3 Layer)" sheetId="2" state="veryHidden" r:id="rId5"/>
    <sheet name="CMU Calculations (4 layer)" sheetId="7" state="veryHidden" r:id="rId6"/>
    <sheet name="Hidden Outputs" sheetId="8" state="veryHidden" r:id="rId7"/>
    <sheet name="Inside Finishes" sheetId="4" state="veryHidden" r:id="rId8"/>
    <sheet name="Outside Finishes" sheetId="5" state="veryHidden" r:id="rId9"/>
    <sheet name="Grouting" sheetId="10" state="veryHidden" r:id="rId10"/>
  </sheets>
  <definedNames>
    <definedName name="_xlnm.Print_Area" localSheetId="3">Output!$A$1:$E$41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6" l="1"/>
  <c r="C68" i="1"/>
  <c r="H43" i="1"/>
  <c r="F47" i="1" l="1"/>
  <c r="B9" i="8" s="1"/>
  <c r="F63" i="6" l="1"/>
  <c r="F62" i="6" s="1"/>
  <c r="F46" i="1"/>
  <c r="H31" i="1"/>
  <c r="G4" i="8" l="1"/>
  <c r="G26" i="8" l="1"/>
  <c r="B26" i="8"/>
  <c r="E13" i="1"/>
  <c r="A11" i="3" l="1"/>
  <c r="A12" i="3"/>
  <c r="A13" i="3"/>
  <c r="A15" i="3"/>
  <c r="A16" i="3"/>
  <c r="A19" i="3"/>
  <c r="A20" i="3"/>
  <c r="A21" i="3"/>
  <c r="A23" i="3"/>
  <c r="A24" i="3"/>
  <c r="A25" i="3"/>
  <c r="A26" i="3"/>
  <c r="A27" i="3"/>
  <c r="A28" i="3"/>
  <c r="A30" i="3"/>
  <c r="A31" i="3"/>
  <c r="A32" i="3"/>
  <c r="A10" i="3"/>
  <c r="B4" i="8"/>
  <c r="G15" i="8"/>
  <c r="G22" i="8" s="1"/>
  <c r="G10" i="8"/>
  <c r="H10" i="8" s="1"/>
  <c r="G9" i="8"/>
  <c r="H9" i="8" s="1"/>
  <c r="G8" i="8"/>
  <c r="G6" i="8"/>
  <c r="G5" i="8"/>
  <c r="B15" i="8"/>
  <c r="B22" i="8" s="1"/>
  <c r="B10" i="8"/>
  <c r="C10" i="8" s="1"/>
  <c r="C9" i="8"/>
  <c r="B6" i="8"/>
  <c r="B5" i="8"/>
  <c r="S8" i="5"/>
  <c r="R8" i="5"/>
  <c r="R10" i="5" s="1"/>
  <c r="S10" i="5" s="1"/>
  <c r="J9" i="7"/>
  <c r="G20" i="7" s="1"/>
  <c r="M9" i="7"/>
  <c r="M7" i="7"/>
  <c r="J4" i="7"/>
  <c r="G34" i="7" s="1"/>
  <c r="J3" i="7"/>
  <c r="G12" i="7" s="1"/>
  <c r="B6" i="7"/>
  <c r="B5" i="7"/>
  <c r="E5" i="7" s="1"/>
  <c r="B4" i="7"/>
  <c r="E4" i="7" s="1"/>
  <c r="I40" i="6"/>
  <c r="I39" i="6"/>
  <c r="I38" i="6"/>
  <c r="I37" i="6"/>
  <c r="H47" i="6"/>
  <c r="G7" i="8" s="1"/>
  <c r="K26" i="6"/>
  <c r="K25" i="6"/>
  <c r="I25" i="6"/>
  <c r="I24" i="6"/>
  <c r="I23" i="6"/>
  <c r="I22" i="6"/>
  <c r="E15" i="6"/>
  <c r="E14" i="6"/>
  <c r="E13" i="6"/>
  <c r="N2" i="8" l="1"/>
  <c r="R9" i="5"/>
  <c r="S9" i="5" s="1"/>
  <c r="M3" i="7"/>
  <c r="G35" i="7" s="1"/>
  <c r="B8" i="7"/>
  <c r="G27" i="7"/>
  <c r="M6" i="7" s="1"/>
  <c r="M8" i="7" s="1"/>
  <c r="G22" i="7"/>
  <c r="G14" i="7"/>
  <c r="G36" i="7"/>
  <c r="E6" i="7"/>
  <c r="I41" i="6"/>
  <c r="I26" i="6"/>
  <c r="K26" i="1"/>
  <c r="K25" i="1"/>
  <c r="G13" i="7" l="1"/>
  <c r="G21" i="7"/>
  <c r="N10" i="8"/>
  <c r="B16" i="3" s="1"/>
  <c r="N4" i="8"/>
  <c r="B10" i="3" s="1"/>
  <c r="N7" i="8"/>
  <c r="N19" i="8"/>
  <c r="B25" i="3" s="1"/>
  <c r="N13" i="8"/>
  <c r="N6" i="8"/>
  <c r="B12" i="3" s="1"/>
  <c r="N9" i="8"/>
  <c r="B15" i="3" s="1"/>
  <c r="N22" i="8"/>
  <c r="B28" i="3" s="1"/>
  <c r="N18" i="8"/>
  <c r="B24" i="3" s="1"/>
  <c r="N5" i="8"/>
  <c r="B11" i="3" s="1"/>
  <c r="N26" i="8"/>
  <c r="B32" i="3" s="1"/>
  <c r="N15" i="8"/>
  <c r="B21" i="3" s="1"/>
  <c r="M11" i="8"/>
  <c r="A17" i="3" s="1"/>
  <c r="N8" i="8"/>
  <c r="B14" i="3" s="1"/>
  <c r="M8" i="8"/>
  <c r="A14" i="3" s="1"/>
  <c r="O10" i="8"/>
  <c r="C16" i="3" s="1"/>
  <c r="J7" i="7"/>
  <c r="C27" i="7" s="1"/>
  <c r="J6" i="7"/>
  <c r="C20" i="7" s="1"/>
  <c r="G11" i="8"/>
  <c r="S5" i="5"/>
  <c r="G14" i="8" s="1"/>
  <c r="G21" i="8" s="1"/>
  <c r="G32" i="7"/>
  <c r="G28" i="7"/>
  <c r="G31" i="7"/>
  <c r="G29" i="7"/>
  <c r="C12" i="7"/>
  <c r="C34" i="7"/>
  <c r="B7" i="8"/>
  <c r="N8" i="5"/>
  <c r="N10" i="5" s="1"/>
  <c r="O10" i="5" s="1"/>
  <c r="O8" i="5"/>
  <c r="B13" i="3" l="1"/>
  <c r="C29" i="7"/>
  <c r="C28" i="7"/>
  <c r="C30" i="7" s="1"/>
  <c r="C22" i="7"/>
  <c r="C21" i="7"/>
  <c r="C23" i="7" s="1"/>
  <c r="C14" i="7"/>
  <c r="C13" i="7"/>
  <c r="C15" i="7" s="1"/>
  <c r="C36" i="7"/>
  <c r="C35" i="7"/>
  <c r="C37" i="7" s="1"/>
  <c r="N9" i="5"/>
  <c r="O9" i="5" s="1"/>
  <c r="J29" i="7" l="1"/>
  <c r="J27" i="7"/>
  <c r="J34" i="7"/>
  <c r="J20" i="7"/>
  <c r="J12" i="7"/>
  <c r="O5" i="5"/>
  <c r="B14" i="8" s="1"/>
  <c r="N14" i="8" s="1"/>
  <c r="M7" i="2"/>
  <c r="R4" i="7" l="1"/>
  <c r="T4" i="7" s="1"/>
  <c r="R5" i="7"/>
  <c r="T5" i="7" s="1"/>
  <c r="B21" i="8"/>
  <c r="B20" i="3"/>
  <c r="J4" i="2"/>
  <c r="G28" i="2" s="1"/>
  <c r="G30" i="2" s="1"/>
  <c r="J3" i="2"/>
  <c r="G12" i="2" s="1"/>
  <c r="G14" i="2" s="1"/>
  <c r="B6" i="2"/>
  <c r="E6" i="2" s="1"/>
  <c r="B5" i="2"/>
  <c r="B4" i="2"/>
  <c r="E4" i="2" s="1"/>
  <c r="T7" i="7" l="1"/>
  <c r="R7" i="7" s="1"/>
  <c r="G20" i="8" s="1"/>
  <c r="G24" i="8" s="1"/>
  <c r="G25" i="8" s="1"/>
  <c r="N21" i="8"/>
  <c r="B27" i="3" s="1"/>
  <c r="B8" i="2"/>
  <c r="E5" i="2"/>
  <c r="C12" i="2" s="1"/>
  <c r="M3" i="2"/>
  <c r="G20" i="2"/>
  <c r="I25" i="1"/>
  <c r="I24" i="1"/>
  <c r="I23" i="1"/>
  <c r="I22" i="1"/>
  <c r="E14" i="1"/>
  <c r="E15" i="1"/>
  <c r="O9" i="8" l="1"/>
  <c r="C15" i="3" s="1"/>
  <c r="C28" i="2"/>
  <c r="C30" i="2" s="1"/>
  <c r="C13" i="2"/>
  <c r="C15" i="2" s="1"/>
  <c r="C14" i="2"/>
  <c r="I26" i="1"/>
  <c r="B11" i="8" s="1"/>
  <c r="G21" i="2"/>
  <c r="G29" i="2"/>
  <c r="G13" i="2"/>
  <c r="G25" i="2"/>
  <c r="M6" i="2"/>
  <c r="M8" i="2" s="1"/>
  <c r="G22" i="2" s="1"/>
  <c r="G24" i="2"/>
  <c r="N11" i="8" l="1"/>
  <c r="B17" i="3" s="1"/>
  <c r="C29" i="2"/>
  <c r="C31" i="2" s="1"/>
  <c r="J28" i="2" s="1"/>
  <c r="J12" i="2"/>
  <c r="J6" i="2"/>
  <c r="C20" i="2" s="1"/>
  <c r="C21" i="2" s="1"/>
  <c r="C23" i="2" s="1"/>
  <c r="C22" i="2" l="1"/>
  <c r="J20" i="2" s="1"/>
  <c r="R4" i="2" s="1"/>
  <c r="T4" i="2" s="1"/>
  <c r="J22" i="2" l="1"/>
  <c r="R5" i="2" s="1"/>
  <c r="T5" i="2" s="1"/>
  <c r="T7" i="2" s="1"/>
  <c r="R7" i="2" s="1"/>
  <c r="B20" i="8" l="1"/>
  <c r="N20" i="8" l="1"/>
  <c r="B26" i="3" s="1"/>
  <c r="B24" i="8"/>
  <c r="N24" i="8" s="1"/>
  <c r="B25" i="8" l="1"/>
  <c r="B30" i="3"/>
  <c r="N25" i="8" l="1"/>
  <c r="B31" i="3" s="1"/>
</calcChain>
</file>

<file path=xl/sharedStrings.xml><?xml version="1.0" encoding="utf-8"?>
<sst xmlns="http://schemas.openxmlformats.org/spreadsheetml/2006/main" count="473" uniqueCount="275">
  <si>
    <t>NCMA R-Value / U-Factor / Heat Capacity Calculator</t>
  </si>
  <si>
    <t>Please enter inputs below for the wall assembly</t>
  </si>
  <si>
    <t>Length (in.)</t>
  </si>
  <si>
    <t>Width (in.)</t>
  </si>
  <si>
    <t>Height (in.)</t>
  </si>
  <si>
    <t>Specified</t>
  </si>
  <si>
    <t>Face 1 Thickness (in.)</t>
  </si>
  <si>
    <t>Face 2 Thickness (in.)</t>
  </si>
  <si>
    <t>Web 1 Thickness (in.)</t>
  </si>
  <si>
    <t>Web 2 Thickness (in.)</t>
  </si>
  <si>
    <t>Web 3 Thickness (in.)</t>
  </si>
  <si>
    <t>Web 4 Thickness (in.)</t>
  </si>
  <si>
    <t>Web 1 Height (in.)</t>
  </si>
  <si>
    <t>Web 2 Height (in.)</t>
  </si>
  <si>
    <t>Web 3 Height (in.)</t>
  </si>
  <si>
    <t>Web 4 Height (in.)</t>
  </si>
  <si>
    <t xml:space="preserve">Calculated </t>
  </si>
  <si>
    <t>Web Area</t>
  </si>
  <si>
    <t>Total</t>
  </si>
  <si>
    <t xml:space="preserve"> - Option - enter total web area for CMU</t>
  </si>
  <si>
    <r>
      <t>CMU Density (lb/ft</t>
    </r>
    <r>
      <rPr>
        <vertAlign val="superscript"/>
        <sz val="11"/>
        <color theme="1"/>
        <rFont val="Calibri"/>
        <family val="2"/>
        <scheme val="minor"/>
      </rPr>
      <t>3</t>
    </r>
    <r>
      <rPr>
        <sz val="11"/>
        <color theme="1"/>
        <rFont val="Calibri"/>
        <family val="2"/>
        <scheme val="minor"/>
      </rPr>
      <t>)</t>
    </r>
  </si>
  <si>
    <t>Nominal Dimensions</t>
  </si>
  <si>
    <t>Length</t>
  </si>
  <si>
    <t>Width</t>
  </si>
  <si>
    <t>Height</t>
  </si>
  <si>
    <t>Specified Dimensions</t>
  </si>
  <si>
    <t>(input air or insulation)</t>
  </si>
  <si>
    <t xml:space="preserve"> - fraction grouted</t>
  </si>
  <si>
    <t>Grouting - enter percent of wall ungrouted</t>
  </si>
  <si>
    <t>%</t>
  </si>
  <si>
    <t>Plan Area</t>
  </si>
  <si>
    <t>in2</t>
  </si>
  <si>
    <t>in.</t>
  </si>
  <si>
    <t>Layer 1</t>
  </si>
  <si>
    <t>Area of CMU</t>
  </si>
  <si>
    <t>Area of Mortar</t>
  </si>
  <si>
    <t>Percent CMU</t>
  </si>
  <si>
    <t>Percent Mortar</t>
  </si>
  <si>
    <t>Face Shell 1 Thickness</t>
  </si>
  <si>
    <t>Face Shell 2 Thickness</t>
  </si>
  <si>
    <t>Total Web Area</t>
  </si>
  <si>
    <t>Thermals</t>
  </si>
  <si>
    <t>r concrete</t>
  </si>
  <si>
    <t>r mortar</t>
  </si>
  <si>
    <t>r grout</t>
  </si>
  <si>
    <t>r air</t>
  </si>
  <si>
    <t>r core</t>
  </si>
  <si>
    <t>r insulation</t>
  </si>
  <si>
    <t>Layer Thickness</t>
  </si>
  <si>
    <t>Layer 2</t>
  </si>
  <si>
    <t>Area of Core</t>
  </si>
  <si>
    <t>Percent Core</t>
  </si>
  <si>
    <t>Layer 3</t>
  </si>
  <si>
    <t>Thermal Resistivity</t>
  </si>
  <si>
    <t>r face shell</t>
  </si>
  <si>
    <t>R Layer 1</t>
  </si>
  <si>
    <t>R Layer 3</t>
  </si>
  <si>
    <t>r webs</t>
  </si>
  <si>
    <t xml:space="preserve">R Layer 2 </t>
  </si>
  <si>
    <t>ungrouted</t>
  </si>
  <si>
    <t>R Layer 2</t>
  </si>
  <si>
    <t>grouted</t>
  </si>
  <si>
    <t>Output</t>
  </si>
  <si>
    <t>R CMU ungrouted</t>
  </si>
  <si>
    <t>R CMU Grouted</t>
  </si>
  <si>
    <t>Assembly Details</t>
  </si>
  <si>
    <t>Inside Air Film</t>
  </si>
  <si>
    <t>Outside Air Film</t>
  </si>
  <si>
    <t>R value - CMU</t>
  </si>
  <si>
    <t>R value - Outside Finish</t>
  </si>
  <si>
    <t>R-Value - Inside Finish</t>
  </si>
  <si>
    <t>Assembly R-Value</t>
  </si>
  <si>
    <t>Assembly U-Factor</t>
  </si>
  <si>
    <t>Assembly Heat Capacity</t>
  </si>
  <si>
    <t>Total CMU R-Value</t>
  </si>
  <si>
    <t>Core fill drop down</t>
  </si>
  <si>
    <t>Air</t>
  </si>
  <si>
    <t>Insulation</t>
  </si>
  <si>
    <t>Inside Surface Finishes</t>
  </si>
  <si>
    <t>Outside Surface Finishes</t>
  </si>
  <si>
    <t>Assembly ID</t>
  </si>
  <si>
    <t>Finish</t>
  </si>
  <si>
    <t>R-value</t>
  </si>
  <si>
    <t>Assembly Description</t>
  </si>
  <si>
    <t>CMU Dimensions</t>
  </si>
  <si>
    <t>CMU Density</t>
  </si>
  <si>
    <t>inch</t>
  </si>
  <si>
    <r>
      <t>lb/ft</t>
    </r>
    <r>
      <rPr>
        <vertAlign val="superscript"/>
        <sz val="11"/>
        <color theme="1"/>
        <rFont val="Calibri"/>
        <family val="2"/>
        <scheme val="minor"/>
      </rPr>
      <t>2</t>
    </r>
  </si>
  <si>
    <t>Grouting</t>
  </si>
  <si>
    <t>Ungrouted Cores</t>
  </si>
  <si>
    <r>
      <t>in.</t>
    </r>
    <r>
      <rPr>
        <vertAlign val="superscript"/>
        <sz val="11"/>
        <color theme="1"/>
        <rFont val="Calibri"/>
        <family val="2"/>
        <scheme val="minor"/>
      </rPr>
      <t>2</t>
    </r>
  </si>
  <si>
    <t>Surface Finish</t>
  </si>
  <si>
    <t xml:space="preserve">   - Interior</t>
  </si>
  <si>
    <t xml:space="preserve">   - Exterior</t>
  </si>
  <si>
    <t>Concrete Resistivity</t>
  </si>
  <si>
    <t>User Input Page (3 Layer Unit)</t>
  </si>
  <si>
    <t>Calculations Page for CMU (3 Layer)</t>
  </si>
  <si>
    <t>None</t>
  </si>
  <si>
    <t>Veneer</t>
  </si>
  <si>
    <t>4" Hollow CMU</t>
  </si>
  <si>
    <t>4" Solid CMU</t>
  </si>
  <si>
    <t>Clay Brick</t>
  </si>
  <si>
    <t>Cavity wall insulation</t>
  </si>
  <si>
    <t>XPS 1 inch</t>
  </si>
  <si>
    <t>XPS 1.5 inch</t>
  </si>
  <si>
    <t>XPS 2 inch</t>
  </si>
  <si>
    <t>XPS 2.5 inch</t>
  </si>
  <si>
    <t>XPS 3 inch</t>
  </si>
  <si>
    <t>XPS 3.5 inch</t>
  </si>
  <si>
    <t>Outside Finishes</t>
  </si>
  <si>
    <t>Veneer Type</t>
  </si>
  <si>
    <t>SPF 1 inch</t>
  </si>
  <si>
    <t>SPF 1.5 inch</t>
  </si>
  <si>
    <t>SPF 2 inch</t>
  </si>
  <si>
    <t>SPF 2.5 inch</t>
  </si>
  <si>
    <t>SPF 3 inch</t>
  </si>
  <si>
    <t>SPF 3.5 inch</t>
  </si>
  <si>
    <t>Polyiso 1 inch</t>
  </si>
  <si>
    <t>Polyiso 1.5 inch</t>
  </si>
  <si>
    <t>Polyiso 2 inch</t>
  </si>
  <si>
    <t>Polyiso 2.5 inch</t>
  </si>
  <si>
    <t>Polyiso 3 inch</t>
  </si>
  <si>
    <t>Polyiso 3.5 inch</t>
  </si>
  <si>
    <t>R-Value</t>
  </si>
  <si>
    <t>Cavity Wall</t>
  </si>
  <si>
    <t>Finish Description</t>
  </si>
  <si>
    <t>Type</t>
  </si>
  <si>
    <t>EIFS 1 inch polyiso</t>
  </si>
  <si>
    <t>EIFS 1.5 inch EPS</t>
  </si>
  <si>
    <t>EIFS 2 inch EPS</t>
  </si>
  <si>
    <t>EIFS 2 inch XPS</t>
  </si>
  <si>
    <t>EIFS 2 inch polyiso</t>
  </si>
  <si>
    <t>EIFS 2.5 inch XPS</t>
  </si>
  <si>
    <t>EIFS 3 inch EPS</t>
  </si>
  <si>
    <t>EIFS 3 inch polyiso</t>
  </si>
  <si>
    <t>Description:</t>
  </si>
  <si>
    <r>
      <t xml:space="preserve"> </t>
    </r>
    <r>
      <rPr>
        <i/>
        <sz val="11"/>
        <color theme="1"/>
        <rFont val="Calibri"/>
        <family val="2"/>
        <scheme val="minor"/>
      </rPr>
      <t>NOTE: Enter description of CMU to be included in calculation output</t>
    </r>
  </si>
  <si>
    <t>CMU Description</t>
  </si>
  <si>
    <t xml:space="preserve"> - if insulation, enter R-value for insulation per inch</t>
  </si>
  <si>
    <t>Outside Surface Finish</t>
  </si>
  <si>
    <t>Inside Surface Finish</t>
  </si>
  <si>
    <t>NOTE - Entering a total web area above will overide individial web entries.</t>
  </si>
  <si>
    <t>NOTE - Entering a specific thermal conductivity will override value calcuated based on density</t>
  </si>
  <si>
    <r>
      <t xml:space="preserve"> - Option - specify concrete thermal resistivity (hr-ft</t>
    </r>
    <r>
      <rPr>
        <vertAlign val="superscript"/>
        <sz val="11"/>
        <color theme="1"/>
        <rFont val="Calibri"/>
        <family val="2"/>
        <scheme val="minor"/>
      </rPr>
      <t>2</t>
    </r>
    <r>
      <rPr>
        <sz val="11"/>
        <color theme="1"/>
        <rFont val="Calibri"/>
        <family val="2"/>
        <scheme val="minor"/>
      </rPr>
      <t>-F/Btu-in.)</t>
    </r>
  </si>
  <si>
    <t>Open Cells Filled with</t>
  </si>
  <si>
    <t>NOTE: This will be used for the fill of all cells not grouted.</t>
  </si>
  <si>
    <t xml:space="preserve"> - Option - enter total web area for Layer 2 Webs</t>
  </si>
  <si>
    <t xml:space="preserve"> - Option - enter total web area for Layer 3 Webs</t>
  </si>
  <si>
    <t>Type (description)</t>
  </si>
  <si>
    <t>Thickess (in.)</t>
  </si>
  <si>
    <t>R-value (per inch)</t>
  </si>
  <si>
    <t>User Input Page (4 Layer Unit)</t>
  </si>
  <si>
    <t>Total Web Area Layer 2</t>
  </si>
  <si>
    <t>Total Web Area Layer 3</t>
  </si>
  <si>
    <t>r cell insulation</t>
  </si>
  <si>
    <t>r insert</t>
  </si>
  <si>
    <t>Insulation Insert thickness</t>
  </si>
  <si>
    <t>Layer 4</t>
  </si>
  <si>
    <t>R Layer 4</t>
  </si>
  <si>
    <t>Area of Insert</t>
  </si>
  <si>
    <t>Percent Insert</t>
  </si>
  <si>
    <t>Area of core</t>
  </si>
  <si>
    <t>r cores</t>
  </si>
  <si>
    <t>3 layer</t>
  </si>
  <si>
    <t>4 layer</t>
  </si>
  <si>
    <t>3 Layer Output</t>
  </si>
  <si>
    <t>4 Layer Output</t>
  </si>
  <si>
    <t>Output to display</t>
  </si>
  <si>
    <r>
      <t>lb/ft</t>
    </r>
    <r>
      <rPr>
        <vertAlign val="superscript"/>
        <sz val="11"/>
        <color theme="1"/>
        <rFont val="Calibri"/>
        <family val="2"/>
        <scheme val="minor"/>
      </rPr>
      <t>3</t>
    </r>
  </si>
  <si>
    <r>
      <t>in.</t>
    </r>
    <r>
      <rPr>
        <vertAlign val="superscript"/>
        <sz val="11"/>
        <color theme="1"/>
        <rFont val="Calibri"/>
        <family val="2"/>
        <scheme val="minor"/>
      </rPr>
      <t>2</t>
    </r>
    <r>
      <rPr>
        <sz val="11"/>
        <color theme="1"/>
        <rFont val="Calibri"/>
        <family val="2"/>
        <scheme val="minor"/>
      </rPr>
      <t>/ft</t>
    </r>
    <r>
      <rPr>
        <vertAlign val="superscript"/>
        <sz val="11"/>
        <color theme="1"/>
        <rFont val="Calibri"/>
        <family val="2"/>
        <scheme val="minor"/>
      </rPr>
      <t>2</t>
    </r>
  </si>
  <si>
    <t>CMU Description:</t>
  </si>
  <si>
    <t>CMU Dimensions:</t>
  </si>
  <si>
    <t>CMU Density:</t>
  </si>
  <si>
    <t>Concrete Resistivity:</t>
  </si>
  <si>
    <t>Insulation Insert:</t>
  </si>
  <si>
    <t>Grouting:</t>
  </si>
  <si>
    <t>Ungrouted Cores:</t>
  </si>
  <si>
    <t>Total Web Area:</t>
  </si>
  <si>
    <t>Maximum Web Area:</t>
  </si>
  <si>
    <t xml:space="preserve">   - Exterior:</t>
  </si>
  <si>
    <t xml:space="preserve">   - Interior:</t>
  </si>
  <si>
    <t>Inside Air Film:</t>
  </si>
  <si>
    <t>Outside Air Film:</t>
  </si>
  <si>
    <t>R value - CMU:</t>
  </si>
  <si>
    <t>R value - Outside Finish:</t>
  </si>
  <si>
    <t>R-Value - Inside Finish:</t>
  </si>
  <si>
    <t>Assembly R-Value:</t>
  </si>
  <si>
    <t>Assembly U-Factor:</t>
  </si>
  <si>
    <t>Assembly Heat Capacity:</t>
  </si>
  <si>
    <t>Instructions</t>
  </si>
  <si>
    <t>1)</t>
  </si>
  <si>
    <t>Blue cells are for user input and can be modified as desired.</t>
  </si>
  <si>
    <t>2)</t>
  </si>
  <si>
    <t>Beige cells are important output cells, as calculated by the spreadsheet, and cannot be modified.</t>
  </si>
  <si>
    <t>3)</t>
  </si>
  <si>
    <t>4)</t>
  </si>
  <si>
    <t>5)</t>
  </si>
  <si>
    <t>NCMA R-Value/U-Factor Calculator</t>
  </si>
  <si>
    <t>This spreadsheet provides calculations of R-Value and U-Factor for concrete masonry assemblies.</t>
  </si>
  <si>
    <t xml:space="preserve">Decide if the unit to be evaluated is 3 layer or 4 layer (see diagrams on each tab). </t>
  </si>
  <si>
    <t>Use only the correct input sheet for the unit being evaluated</t>
  </si>
  <si>
    <t>Orange cells are optional input. As noted, they will override certain values previously entered.</t>
  </si>
  <si>
    <t>Surface finishes can be chosen from drop-down menus. Assemblies can have no finishes,</t>
  </si>
  <si>
    <t>or finishes can be added to the interior, exterior, or both.</t>
  </si>
  <si>
    <t>6)</t>
  </si>
  <si>
    <t>Results with summary of assembly variables will be listed on the 'Output' tab.</t>
  </si>
  <si>
    <t>3 Layer Unit</t>
  </si>
  <si>
    <t>4 Layer Unit</t>
  </si>
  <si>
    <t>Furring Strips and 1/2 inch Gypsum Wallboard</t>
  </si>
  <si>
    <t>1 Inch Spray Polyurethan Foam on CMU, Metal Furring with 1 inch SPF between furring, 1/2 inch Gypsum Wallboard</t>
  </si>
  <si>
    <t>1 Inch Spray Polyurethan Foam on CMU, Metal Furring with 2 inch SPF between furring, 1/2 inch Gypsum Wallboard</t>
  </si>
  <si>
    <t>1 Inch Spray Polyurethan Foam on CMU, Metal Furring with 3 inch SPF between furring, 1/2 inch Gypsum Wallboard</t>
  </si>
  <si>
    <t>1 Inch Spray Polyurethan Foam on CMU, Metal Furring with 3.5 inch SPF between furring, 1/2 inch Gypsum Wallboard</t>
  </si>
  <si>
    <t>3/4 inch Continuous Extruded Polystyrene (XPS) Insulation, Metal Furring and 1/2 inch Gypsum Wallboard</t>
  </si>
  <si>
    <t>1 inch Continuous Extruded Polystyrene (XPS) Insulation, Metal Furring and 1/2 inch Gypsum Wallboard</t>
  </si>
  <si>
    <t>1.5 inch Continuous Extruded Polystyrene (XPS) Insulation, Metal Furring and 1/2 inch Gypsum Wallboard</t>
  </si>
  <si>
    <t>2 inch Continuous Extruded Polystyrene (XPS) Insulation, Metal Furring and 1/2 inch Gypsum Wallboard</t>
  </si>
  <si>
    <t>2.5 inch Continuous Extruded Polystyrene (XPS) Insulation, Metal Furring and 1/2 inch Gypsum Wallboard</t>
  </si>
  <si>
    <t>3 inch Continuous Extruded Polystyrene (XPS) Insulation, Metal Furring and 1/2 inch Gypsum Wallboard</t>
  </si>
  <si>
    <t>3/4 inch Continuous Polyisocyanurate Insulation, Metal Furring and 1/2 inch Gypsum Wallboard</t>
  </si>
  <si>
    <t>1 inch Continuous Polyisocyanurate Insulation, Metal Furring and 1/2 inch Gypsum Wallboard</t>
  </si>
  <si>
    <t>1.5 inch Continuous Polyisocyanurate Insulation, Metal Furring and 1/2 inch Gypsum Wallboard</t>
  </si>
  <si>
    <t>2 inch Continuous Polyisocyanurate Insulation, Metal Furring and 1/2 inch Gypsum Wallboard</t>
  </si>
  <si>
    <t>2.5 inch Continuous Polyisocyanurate Insulation, Metal Furring and 1/2 inch Gypsum Wallboard</t>
  </si>
  <si>
    <t>3 inch Continuous Polyisocyanurate Insulation, Metal Furring and 1/2 inch Gypsum Wallboard</t>
  </si>
  <si>
    <t>2 inch Continuous Heavy Duty Polyisocyanurate</t>
  </si>
  <si>
    <t>2.5 inch Continuous Heavy Duty Polyisocyanurate</t>
  </si>
  <si>
    <t>3 inch Continuous Heavy Duty Polyisocyanurate</t>
  </si>
  <si>
    <t>3.5 inch Continuous Heavy Duty Polyisocyanurate</t>
  </si>
  <si>
    <t>Metal Furring with R11 Batt Insulation between strips and 1/2 inch Gypsum Wallboard</t>
  </si>
  <si>
    <t>Metal Furring with R13 Batt Insulation between strips and 1/2 inch Gypsum Wallboard</t>
  </si>
  <si>
    <t>Metal Furring with R15 Batt Insulation between strips and 1/2 inch Gypsum Wallboard</t>
  </si>
  <si>
    <t>Metal Furring with R19 Batt Insulation between strips and 1/2 inch Gypsum Wallboard</t>
  </si>
  <si>
    <t>Metal Furring with R21 Batt Insulation between strips and 1/2 inch Gypsum Wallboard</t>
  </si>
  <si>
    <t>Wood Furring with 3/4 inch Extruded Polystyrene between furring and 1/2 inch Gypsum Wallboard</t>
  </si>
  <si>
    <t>Wood Furring with 1.5 inch Extruded Polystyrene between furring and 1/2 inch Gypsum Wallboard</t>
  </si>
  <si>
    <t>Wood Furring with 3/4 inch Polyisocyanurate between furring and 1/2 inch Gypsum Wallboard</t>
  </si>
  <si>
    <t>Wood Furring with 1.5 inch Polyisocyanurate between furring and 1/2 inch Gypsum Wallboard</t>
  </si>
  <si>
    <t>Wood Furring with R11 Batt Insulation between strips and 1/2 inch Gypsum Wallboard</t>
  </si>
  <si>
    <t>Wood Furring with R13 Batt Insulation between strips and 1/2 inch Gypsum Wallboard</t>
  </si>
  <si>
    <t>Wood Furring with R15 Batt Insulation between strips and 1/2 inch Gypsum Wallboard</t>
  </si>
  <si>
    <t>Wood Furring with R19 Batt Insulation between strips and 1/2 inch Gypsum Wallboard</t>
  </si>
  <si>
    <t>Wood Furring with R21 Batt Insulation between strips and 1/2 inch Gypsum Wallboard</t>
  </si>
  <si>
    <t>If known, enter Heat Capacity</t>
  </si>
  <si>
    <t>For more information on heat capacity, see NCMA TEK Note 6-16A</t>
  </si>
  <si>
    <r>
      <t>Btu/ft</t>
    </r>
    <r>
      <rPr>
        <vertAlign val="superscript"/>
        <sz val="11"/>
        <color theme="1"/>
        <rFont val="Calibri"/>
        <family val="2"/>
        <scheme val="minor"/>
      </rPr>
      <t>2</t>
    </r>
    <r>
      <rPr>
        <sz val="11"/>
        <color theme="1"/>
        <rFont val="Calibri"/>
        <family val="2"/>
        <scheme val="minor"/>
      </rPr>
      <t>-</t>
    </r>
    <r>
      <rPr>
        <sz val="11"/>
        <color theme="1"/>
        <rFont val="Calibri"/>
        <family val="2"/>
      </rPr>
      <t>°</t>
    </r>
    <r>
      <rPr>
        <sz val="11"/>
        <color theme="1"/>
        <rFont val="Calibri"/>
        <family val="2"/>
        <scheme val="minor"/>
      </rPr>
      <t>F</t>
    </r>
  </si>
  <si>
    <r>
      <t xml:space="preserve"> - Option - specify concrete thermal resistivity (hr-ft</t>
    </r>
    <r>
      <rPr>
        <vertAlign val="superscript"/>
        <sz val="11"/>
        <color theme="1"/>
        <rFont val="Calibri"/>
        <family val="2"/>
        <scheme val="minor"/>
      </rPr>
      <t>2</t>
    </r>
    <r>
      <rPr>
        <sz val="11"/>
        <color theme="1"/>
        <rFont val="Calibri"/>
        <family val="2"/>
        <scheme val="minor"/>
      </rPr>
      <t>-</t>
    </r>
    <r>
      <rPr>
        <sz val="11"/>
        <color theme="1"/>
        <rFont val="Calibri"/>
        <family val="2"/>
      </rPr>
      <t>°</t>
    </r>
    <r>
      <rPr>
        <sz val="11"/>
        <color theme="1"/>
        <rFont val="Calibri"/>
        <family val="2"/>
        <scheme val="minor"/>
      </rPr>
      <t>F/Btu-in.)</t>
    </r>
  </si>
  <si>
    <t>U ungrout</t>
  </si>
  <si>
    <t>U Grout</t>
  </si>
  <si>
    <t>u tot</t>
  </si>
  <si>
    <t>NO films</t>
  </si>
  <si>
    <t>Spacing</t>
  </si>
  <si>
    <t>Fully Grouted</t>
  </si>
  <si>
    <t>Partial Grouted</t>
  </si>
  <si>
    <t>- if partial, select grout schedule below</t>
  </si>
  <si>
    <t>Grouting - percent of wall ungrouted</t>
  </si>
  <si>
    <t xml:space="preserve"> - percent grouted</t>
  </si>
  <si>
    <t>Vertical Grout Spacing (inch on center)</t>
  </si>
  <si>
    <t>Horizontal Grout Spacing (inch on center)</t>
  </si>
  <si>
    <t xml:space="preserve">Step 2: CMU Description </t>
  </si>
  <si>
    <t>Step 3: CMU Nominal Dimesions</t>
  </si>
  <si>
    <t>Step 4: Face Shell Thickness</t>
  </si>
  <si>
    <t>Step 4: Web Information</t>
  </si>
  <si>
    <t>Step 7: Density and Resistivity</t>
  </si>
  <si>
    <t>Step 8: Cell Fill</t>
  </si>
  <si>
    <t xml:space="preserve">Step 9: Grouting </t>
  </si>
  <si>
    <t>Choose no grout, fully grouted, or partially grouted</t>
  </si>
  <si>
    <t>Step 10: Heat Capacity</t>
  </si>
  <si>
    <t>Steps 11 &amp; 12: Surface Finishes</t>
  </si>
  <si>
    <t>Step 4: Web Information (Layer 2)</t>
  </si>
  <si>
    <t>Step 4: Web Information (Layer 3)</t>
  </si>
  <si>
    <t>Step 6: Insulation Insert (Layer 2)</t>
  </si>
  <si>
    <t>7)</t>
  </si>
  <si>
    <t>Detailed Instruction can be found by clicking the icon below (will open Help file in Adobe Acrobat)</t>
  </si>
  <si>
    <t>NCMA R-Value/U-Factor Calculator Output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</si>
</sst>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
    <numFmt numFmtId="166" formatCode="0.0"/>
  </numFmts>
  <fonts count="17" x14ac:knownFonts="1">
    <font>
      <sz val="11"/>
      <color theme="1"/>
      <name val="Calibri"/>
      <family val="2"/>
      <scheme val="minor"/>
    </font>
    <font>
      <b/>
      <sz val="11"/>
      <color theme="1"/>
      <name val="Calibri"/>
      <family val="2"/>
      <scheme val="minor"/>
    </font>
    <font>
      <u/>
      <sz val="11"/>
      <color theme="1"/>
      <name val="Calibri"/>
      <family val="2"/>
      <scheme val="minor"/>
    </font>
    <font>
      <vertAlign val="superscript"/>
      <sz val="11"/>
      <color theme="1"/>
      <name val="Calibri"/>
      <family val="2"/>
      <scheme val="minor"/>
    </font>
    <font>
      <i/>
      <sz val="11"/>
      <color theme="1"/>
      <name val="Calibri"/>
      <family val="2"/>
      <scheme val="minor"/>
    </font>
    <font>
      <b/>
      <i/>
      <sz val="11"/>
      <color theme="1"/>
      <name val="Calibri"/>
      <family val="2"/>
      <scheme val="minor"/>
    </font>
    <font>
      <b/>
      <u/>
      <sz val="11"/>
      <color theme="1"/>
      <name val="Calibri"/>
      <family val="2"/>
      <scheme val="minor"/>
    </font>
    <font>
      <b/>
      <u/>
      <sz val="14"/>
      <name val="Arial"/>
      <family val="2"/>
    </font>
    <font>
      <u/>
      <sz val="10"/>
      <name val="Arial"/>
      <family val="2"/>
    </font>
    <font>
      <sz val="10"/>
      <name val="Arial"/>
      <family val="2"/>
    </font>
    <font>
      <sz val="10"/>
      <color theme="1"/>
      <name val="Arial"/>
      <family val="2"/>
    </font>
    <font>
      <sz val="11"/>
      <color theme="1"/>
      <name val="Calibri"/>
      <family val="2"/>
    </font>
    <font>
      <b/>
      <sz val="20"/>
      <color theme="1"/>
      <name val="Calibri"/>
      <family val="2"/>
      <scheme val="minor"/>
    </font>
    <font>
      <b/>
      <sz val="26"/>
      <color theme="1"/>
      <name val="Calibri"/>
      <family val="2"/>
      <scheme val="minor"/>
    </font>
    <font>
      <b/>
      <sz val="48"/>
      <color theme="1"/>
      <name val="Calibri"/>
      <family val="2"/>
      <scheme val="minor"/>
    </font>
    <font>
      <sz val="11"/>
      <color theme="0"/>
      <name val="Calibri"/>
      <family val="2"/>
      <scheme val="minor"/>
    </font>
    <font>
      <sz val="1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61">
    <xf numFmtId="0" fontId="0" fillId="0" borderId="0" xfId="0"/>
    <xf numFmtId="0" fontId="1" fillId="0" borderId="0" xfId="0" applyFont="1"/>
    <xf numFmtId="0" fontId="2" fillId="0" borderId="0" xfId="0" applyFont="1"/>
    <xf numFmtId="0" fontId="0" fillId="0" borderId="0" xfId="0" applyFill="1" applyBorder="1"/>
    <xf numFmtId="0" fontId="0" fillId="0" borderId="0" xfId="0" applyAlignment="1">
      <alignment horizontal="center"/>
    </xf>
    <xf numFmtId="0" fontId="0" fillId="0" borderId="1" xfId="0" applyBorder="1" applyAlignment="1">
      <alignment horizontal="center"/>
    </xf>
    <xf numFmtId="0" fontId="0" fillId="2" borderId="1" xfId="0" applyFill="1" applyBorder="1"/>
    <xf numFmtId="0" fontId="4" fillId="0" borderId="0" xfId="0" applyFont="1"/>
    <xf numFmtId="164" fontId="0" fillId="0" borderId="0" xfId="0" applyNumberFormat="1"/>
    <xf numFmtId="0" fontId="0" fillId="0" borderId="0" xfId="0" quotePrefix="1" applyAlignment="1">
      <alignment horizontal="center"/>
    </xf>
    <xf numFmtId="165" fontId="1" fillId="0" borderId="0" xfId="0" quotePrefix="1" applyNumberFormat="1" applyFont="1" applyAlignment="1">
      <alignment horizontal="center"/>
    </xf>
    <xf numFmtId="2" fontId="1" fillId="0" borderId="0" xfId="0" applyNumberFormat="1" applyFont="1" applyAlignment="1">
      <alignment horizontal="center"/>
    </xf>
    <xf numFmtId="2" fontId="0" fillId="0" borderId="0" xfId="0" applyNumberFormat="1" applyAlignment="1">
      <alignment horizontal="center"/>
    </xf>
    <xf numFmtId="0" fontId="0" fillId="0" borderId="0" xfId="0" applyFont="1"/>
    <xf numFmtId="166" fontId="0" fillId="0" borderId="0" xfId="0" quotePrefix="1" applyNumberFormat="1" applyAlignment="1">
      <alignment horizontal="center"/>
    </xf>
    <xf numFmtId="166" fontId="1" fillId="0" borderId="0" xfId="0" applyNumberFormat="1" applyFont="1" applyAlignment="1">
      <alignment horizontal="center"/>
    </xf>
    <xf numFmtId="0" fontId="0" fillId="0" borderId="0" xfId="0" quotePrefix="1" applyAlignment="1">
      <alignment horizontal="left"/>
    </xf>
    <xf numFmtId="0" fontId="0" fillId="3" borderId="1" xfId="0" applyFill="1" applyBorder="1"/>
    <xf numFmtId="0" fontId="0" fillId="3" borderId="2" xfId="0" applyFill="1" applyBorder="1"/>
    <xf numFmtId="0" fontId="0" fillId="4" borderId="0" xfId="0" applyFill="1" applyAlignment="1">
      <alignment horizontal="center"/>
    </xf>
    <xf numFmtId="0" fontId="1" fillId="4" borderId="0" xfId="0" applyFont="1" applyFill="1" applyAlignment="1">
      <alignment horizontal="center"/>
    </xf>
    <xf numFmtId="2" fontId="0" fillId="4" borderId="1" xfId="0" applyNumberFormat="1" applyFill="1" applyBorder="1" applyAlignment="1">
      <alignment horizontal="center"/>
    </xf>
    <xf numFmtId="0" fontId="0" fillId="3" borderId="1" xfId="0" applyFill="1" applyBorder="1" applyAlignment="1">
      <alignment horizontal="center"/>
    </xf>
    <xf numFmtId="0" fontId="0" fillId="3" borderId="0" xfId="0" applyFill="1"/>
    <xf numFmtId="0" fontId="0" fillId="0" borderId="0" xfId="0" applyFill="1"/>
    <xf numFmtId="0" fontId="0" fillId="4" borderId="0" xfId="0" applyFill="1"/>
    <xf numFmtId="0" fontId="5" fillId="0" borderId="0" xfId="0" applyFont="1"/>
    <xf numFmtId="0" fontId="6" fillId="0" borderId="0" xfId="0" applyFont="1"/>
    <xf numFmtId="2" fontId="0" fillId="0" borderId="0" xfId="0" applyNumberFormat="1"/>
    <xf numFmtId="166" fontId="0" fillId="0" borderId="0" xfId="0" applyNumberFormat="1"/>
    <xf numFmtId="165" fontId="1" fillId="0" borderId="0" xfId="0" applyNumberFormat="1" applyFont="1" applyAlignment="1">
      <alignment horizontal="center"/>
    </xf>
    <xf numFmtId="0" fontId="1" fillId="0" borderId="0" xfId="0" applyFont="1" applyAlignment="1">
      <alignment horizontal="center"/>
    </xf>
    <xf numFmtId="0" fontId="0" fillId="5" borderId="0" xfId="0" applyFill="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7" fillId="5" borderId="0" xfId="0" applyFont="1" applyFill="1" applyBorder="1" applyProtection="1">
      <protection hidden="1"/>
    </xf>
    <xf numFmtId="0" fontId="8" fillId="5" borderId="0" xfId="0" applyFont="1" applyFill="1" applyBorder="1"/>
    <xf numFmtId="0" fontId="0" fillId="5" borderId="0" xfId="0" applyFill="1" applyBorder="1"/>
    <xf numFmtId="0" fontId="0" fillId="5" borderId="7" xfId="0" applyFill="1" applyBorder="1"/>
    <xf numFmtId="0" fontId="9" fillId="5" borderId="0" xfId="0" applyFont="1" applyFill="1" applyBorder="1" applyAlignment="1">
      <alignment horizontal="right"/>
    </xf>
    <xf numFmtId="0" fontId="9" fillId="5" borderId="0" xfId="0" applyFont="1" applyFill="1" applyBorder="1"/>
    <xf numFmtId="0" fontId="0" fillId="5" borderId="0" xfId="0" applyFill="1" applyBorder="1" applyAlignment="1">
      <alignment horizontal="right"/>
    </xf>
    <xf numFmtId="0" fontId="10" fillId="5" borderId="0" xfId="0" applyFont="1" applyFill="1" applyBorder="1"/>
    <xf numFmtId="0" fontId="13" fillId="0" borderId="0" xfId="0" applyFont="1" applyAlignment="1">
      <alignment horizontal="center"/>
    </xf>
    <xf numFmtId="0" fontId="14" fillId="0" borderId="0" xfId="0" applyFont="1" applyAlignment="1">
      <alignment horizontal="center"/>
    </xf>
    <xf numFmtId="0" fontId="0" fillId="0" borderId="0" xfId="0" applyAlignment="1">
      <alignment horizontal="left"/>
    </xf>
    <xf numFmtId="0" fontId="0" fillId="0" borderId="0" xfId="0" quotePrefix="1"/>
    <xf numFmtId="166" fontId="0" fillId="4" borderId="1" xfId="0" applyNumberFormat="1" applyFill="1" applyBorder="1" applyAlignment="1">
      <alignment horizontal="center"/>
    </xf>
    <xf numFmtId="0" fontId="15" fillId="0" borderId="0" xfId="0" applyFont="1"/>
    <xf numFmtId="166" fontId="0" fillId="4" borderId="0" xfId="0" applyNumberFormat="1" applyFill="1" applyAlignment="1">
      <alignment horizontal="center"/>
    </xf>
    <xf numFmtId="0" fontId="16" fillId="0" borderId="0" xfId="0" applyFont="1"/>
    <xf numFmtId="0" fontId="10" fillId="5" borderId="0" xfId="0" applyFont="1" applyFill="1" applyBorder="1" applyAlignment="1">
      <alignment horizontal="right"/>
    </xf>
    <xf numFmtId="0" fontId="10" fillId="0" borderId="0" xfId="0" applyFont="1" applyBorder="1"/>
    <xf numFmtId="0" fontId="0" fillId="0" borderId="6" xfId="0" applyBorder="1"/>
    <xf numFmtId="0" fontId="0" fillId="0" borderId="0" xfId="0" applyBorder="1"/>
    <xf numFmtId="0" fontId="0" fillId="0" borderId="8" xfId="0" applyBorder="1"/>
    <xf numFmtId="0" fontId="0" fillId="0" borderId="9" xfId="0" applyBorder="1"/>
    <xf numFmtId="0" fontId="0" fillId="0" borderId="10" xfId="0" applyBorder="1"/>
    <xf numFmtId="0" fontId="12" fillId="0" borderId="0" xfId="0" applyFont="1" applyAlignment="1">
      <alignment horizontal="center"/>
    </xf>
  </cellXfs>
  <cellStyles count="1">
    <cellStyle name="Normal" xfId="0" builtinId="0"/>
  </cellStyles>
  <dxfs count="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556382</xdr:colOff>
      <xdr:row>21</xdr:row>
      <xdr:rowOff>73269</xdr:rowOff>
    </xdr:from>
    <xdr:to>
      <xdr:col>12</xdr:col>
      <xdr:colOff>422032</xdr:colOff>
      <xdr:row>23</xdr:row>
      <xdr:rowOff>136646</xdr:rowOff>
    </xdr:to>
    <xdr:pic>
      <xdr:nvPicPr>
        <xdr:cNvPr id="2" name="Picture 1" descr="http://www.ncma.org/PublishingImages/NCMA_logo_small.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5107" y="3083169"/>
          <a:ext cx="1913525" cy="391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95250</xdr:colOff>
          <xdr:row>19</xdr:row>
          <xdr:rowOff>133350</xdr:rowOff>
        </xdr:from>
        <xdr:to>
          <xdr:col>4</xdr:col>
          <xdr:colOff>361950</xdr:colOff>
          <xdr:row>23</xdr:row>
          <xdr:rowOff>95250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457200</xdr:colOff>
      <xdr:row>5</xdr:row>
      <xdr:rowOff>57150</xdr:rowOff>
    </xdr:from>
    <xdr:to>
      <xdr:col>12</xdr:col>
      <xdr:colOff>2314575</xdr:colOff>
      <xdr:row>17</xdr:row>
      <xdr:rowOff>179709</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8190"/>
        <a:stretch/>
      </xdr:blipFill>
      <xdr:spPr bwMode="auto">
        <a:xfrm>
          <a:off x="7219950" y="438150"/>
          <a:ext cx="5133975" cy="2399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114300</xdr:colOff>
      <xdr:row>0</xdr:row>
      <xdr:rowOff>0</xdr:rowOff>
    </xdr:from>
    <xdr:to>
      <xdr:col>5</xdr:col>
      <xdr:colOff>404812</xdr:colOff>
      <xdr:row>2</xdr:row>
      <xdr:rowOff>158305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0"/>
          <a:ext cx="4572000" cy="11155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1504950</xdr:colOff>
      <xdr:row>1</xdr:row>
      <xdr:rowOff>132587</xdr:rowOff>
    </xdr:from>
    <xdr:to>
      <xdr:col>12</xdr:col>
      <xdr:colOff>2895600</xdr:colOff>
      <xdr:row>17</xdr:row>
      <xdr:rowOff>31116</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67700" y="913637"/>
          <a:ext cx="4667250" cy="3051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52387</xdr:colOff>
      <xdr:row>0</xdr:row>
      <xdr:rowOff>0</xdr:rowOff>
    </xdr:from>
    <xdr:to>
      <xdr:col>6</xdr:col>
      <xdr:colOff>47624</xdr:colOff>
      <xdr:row>2</xdr:row>
      <xdr:rowOff>153543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 y="0"/>
          <a:ext cx="4572000" cy="11155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32</xdr:row>
      <xdr:rowOff>95250</xdr:rowOff>
    </xdr:from>
    <xdr:to>
      <xdr:col>4</xdr:col>
      <xdr:colOff>361950</xdr:colOff>
      <xdr:row>38</xdr:row>
      <xdr:rowOff>161925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5250" y="6153150"/>
          <a:ext cx="5514975"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Results provided</a:t>
          </a:r>
          <a:r>
            <a:rPr lang="en-US" sz="1100" b="1" baseline="0"/>
            <a:t> above are based on user inputs to this spreadsheet. </a:t>
          </a:r>
          <a:r>
            <a:rPr lang="en-US" sz="1100" b="1"/>
            <a:t>The</a:t>
          </a:r>
          <a:r>
            <a:rPr lang="en-US" sz="1100" b="1" baseline="0"/>
            <a:t> values  provided represent the most state-of-the-art calculation methods, material thermal properties, and ASHRAE stated values and requirements. These values are supported by current energy codes and standards. More detailed information on the calculation methods can be found in the NCMA </a:t>
          </a:r>
          <a:r>
            <a:rPr lang="en-US" sz="1100" b="1" i="1" baseline="0"/>
            <a:t>Thermal Catalog of Concrete Masonry Wall Assemblies, 2nd Edition, </a:t>
          </a:r>
          <a:r>
            <a:rPr lang="en-US" sz="1100" b="1" i="0" baseline="0"/>
            <a:t>available at www.ncma.org.</a:t>
          </a:r>
          <a:endParaRPr lang="en-US" sz="1100" b="1"/>
        </a:p>
      </xdr:txBody>
    </xdr:sp>
    <xdr:clientData/>
  </xdr:twoCellAnchor>
  <xdr:twoCellAnchor editAs="oneCell">
    <xdr:from>
      <xdr:col>0</xdr:col>
      <xdr:colOff>495301</xdr:colOff>
      <xdr:row>0</xdr:row>
      <xdr:rowOff>95250</xdr:rowOff>
    </xdr:from>
    <xdr:to>
      <xdr:col>3</xdr:col>
      <xdr:colOff>603251</xdr:colOff>
      <xdr:row>6</xdr:row>
      <xdr:rowOff>4457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1" y="95250"/>
          <a:ext cx="4711700" cy="1155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2:M26"/>
  <sheetViews>
    <sheetView tabSelected="1" zoomScaleNormal="100" workbookViewId="0">
      <selection activeCell="C27" sqref="C27"/>
    </sheetView>
  </sheetViews>
  <sheetFormatPr defaultRowHeight="14.25" x14ac:dyDescent="0.45"/>
  <sheetData>
    <row r="2" spans="1:13" ht="33.4" x14ac:dyDescent="1">
      <c r="G2" s="45"/>
    </row>
    <row r="5" spans="1:13" x14ac:dyDescent="0.45">
      <c r="A5" s="32"/>
      <c r="B5" s="32"/>
      <c r="C5" s="32"/>
      <c r="D5" s="32"/>
      <c r="E5" s="32"/>
      <c r="F5" s="32"/>
      <c r="G5" s="32"/>
      <c r="H5" s="32"/>
      <c r="I5" s="32"/>
      <c r="J5" s="32"/>
      <c r="K5" s="32"/>
      <c r="L5" s="32"/>
      <c r="M5" s="32"/>
    </row>
    <row r="6" spans="1:13" ht="14.65" thickBot="1" x14ac:dyDescent="0.5">
      <c r="A6" s="32"/>
      <c r="B6" s="32"/>
      <c r="C6" s="32"/>
      <c r="D6" s="32"/>
      <c r="E6" s="32"/>
      <c r="F6" s="32"/>
      <c r="G6" s="32"/>
      <c r="H6" s="32"/>
      <c r="I6" s="32"/>
      <c r="J6" s="32"/>
      <c r="K6" s="32"/>
      <c r="L6" s="32"/>
      <c r="M6" s="32"/>
    </row>
    <row r="7" spans="1:13" ht="14.65" thickTop="1" x14ac:dyDescent="0.45">
      <c r="A7" s="32"/>
      <c r="B7" s="33"/>
      <c r="C7" s="34"/>
      <c r="D7" s="34"/>
      <c r="E7" s="34"/>
      <c r="F7" s="34"/>
      <c r="G7" s="34"/>
      <c r="H7" s="34"/>
      <c r="I7" s="34"/>
      <c r="J7" s="34"/>
      <c r="K7" s="34"/>
      <c r="L7" s="34"/>
      <c r="M7" s="35"/>
    </row>
    <row r="8" spans="1:13" ht="17.649999999999999" x14ac:dyDescent="0.5">
      <c r="A8" s="32"/>
      <c r="B8" s="36"/>
      <c r="C8" s="37" t="s">
        <v>197</v>
      </c>
      <c r="D8" s="38"/>
      <c r="E8" s="38"/>
      <c r="F8" s="38"/>
      <c r="G8" s="38"/>
      <c r="H8" s="39"/>
      <c r="I8" s="39"/>
      <c r="J8" s="39"/>
      <c r="K8" s="39"/>
      <c r="L8" s="39"/>
      <c r="M8" s="40"/>
    </row>
    <row r="9" spans="1:13" x14ac:dyDescent="0.45">
      <c r="A9" s="32"/>
      <c r="B9" s="36"/>
      <c r="C9" s="44" t="s">
        <v>198</v>
      </c>
      <c r="D9" s="39"/>
      <c r="E9" s="39"/>
      <c r="F9" s="39"/>
      <c r="G9" s="39"/>
      <c r="H9" s="39"/>
      <c r="I9" s="39"/>
      <c r="J9" s="39"/>
      <c r="K9" s="39"/>
      <c r="L9" s="39"/>
      <c r="M9" s="40"/>
    </row>
    <row r="10" spans="1:13" x14ac:dyDescent="0.45">
      <c r="A10" s="32"/>
      <c r="B10" s="36"/>
      <c r="C10" s="38" t="s">
        <v>189</v>
      </c>
      <c r="D10" s="39"/>
      <c r="E10" s="39"/>
      <c r="F10" s="39"/>
      <c r="G10" s="39"/>
      <c r="H10" s="39"/>
      <c r="I10" s="39"/>
      <c r="J10" s="39"/>
      <c r="K10" s="39"/>
      <c r="L10" s="39"/>
      <c r="M10" s="40"/>
    </row>
    <row r="11" spans="1:13" x14ac:dyDescent="0.45">
      <c r="A11" s="32"/>
      <c r="B11" s="36"/>
      <c r="C11" s="41" t="s">
        <v>190</v>
      </c>
      <c r="D11" s="42" t="s">
        <v>191</v>
      </c>
      <c r="E11" s="39"/>
      <c r="F11" s="39"/>
      <c r="G11" s="39"/>
      <c r="H11" s="39"/>
      <c r="I11" s="39"/>
      <c r="J11" s="39"/>
      <c r="K11" s="39"/>
      <c r="L11" s="39"/>
      <c r="M11" s="40"/>
    </row>
    <row r="12" spans="1:13" x14ac:dyDescent="0.45">
      <c r="A12" s="32"/>
      <c r="B12" s="36"/>
      <c r="C12" s="41" t="s">
        <v>192</v>
      </c>
      <c r="D12" s="42" t="s">
        <v>193</v>
      </c>
      <c r="E12" s="39"/>
      <c r="F12" s="39"/>
      <c r="G12" s="39"/>
      <c r="H12" s="39"/>
      <c r="I12" s="39"/>
      <c r="J12" s="39"/>
      <c r="K12" s="39"/>
      <c r="L12" s="39"/>
      <c r="M12" s="40"/>
    </row>
    <row r="13" spans="1:13" x14ac:dyDescent="0.45">
      <c r="A13" s="32"/>
      <c r="B13" s="36"/>
      <c r="C13" s="41" t="s">
        <v>194</v>
      </c>
      <c r="D13" s="54" t="s">
        <v>201</v>
      </c>
      <c r="E13" s="39"/>
      <c r="F13" s="39"/>
      <c r="G13" s="39"/>
      <c r="H13" s="39"/>
      <c r="I13" s="39"/>
      <c r="J13" s="39"/>
      <c r="K13" s="39"/>
      <c r="L13" s="39"/>
      <c r="M13" s="40"/>
    </row>
    <row r="14" spans="1:13" x14ac:dyDescent="0.45">
      <c r="A14" s="32"/>
      <c r="B14" s="36"/>
      <c r="C14" s="41" t="s">
        <v>195</v>
      </c>
      <c r="D14" s="42" t="s">
        <v>199</v>
      </c>
      <c r="E14" s="39"/>
      <c r="F14" s="39"/>
      <c r="G14" s="39"/>
      <c r="H14" s="39"/>
      <c r="I14" s="39"/>
      <c r="J14" s="39"/>
      <c r="K14" s="39"/>
      <c r="L14" s="39"/>
      <c r="M14" s="40"/>
    </row>
    <row r="15" spans="1:13" x14ac:dyDescent="0.45">
      <c r="A15" s="32"/>
      <c r="B15" s="36"/>
      <c r="C15" s="41"/>
      <c r="D15" s="42" t="s">
        <v>200</v>
      </c>
      <c r="E15" s="39"/>
      <c r="F15" s="39"/>
      <c r="G15" s="39"/>
      <c r="H15" s="39"/>
      <c r="I15" s="39"/>
      <c r="J15" s="39"/>
      <c r="K15" s="39"/>
      <c r="L15" s="39"/>
      <c r="M15" s="40"/>
    </row>
    <row r="16" spans="1:13" x14ac:dyDescent="0.45">
      <c r="A16" s="32"/>
      <c r="B16" s="36"/>
      <c r="C16" s="41" t="s">
        <v>196</v>
      </c>
      <c r="D16" s="42" t="s">
        <v>202</v>
      </c>
      <c r="E16" s="39"/>
      <c r="F16" s="39"/>
      <c r="G16" s="39"/>
      <c r="H16" s="39"/>
      <c r="I16" s="39"/>
      <c r="J16" s="39"/>
      <c r="K16" s="39"/>
      <c r="L16" s="39"/>
      <c r="M16" s="40"/>
    </row>
    <row r="17" spans="1:13" x14ac:dyDescent="0.45">
      <c r="A17" s="32"/>
      <c r="B17" s="36"/>
      <c r="C17" s="53"/>
      <c r="D17" s="42" t="s">
        <v>203</v>
      </c>
      <c r="E17" s="39"/>
      <c r="F17" s="39"/>
      <c r="G17" s="39"/>
      <c r="H17" s="39"/>
      <c r="I17" s="39"/>
      <c r="J17" s="39"/>
      <c r="K17" s="39"/>
      <c r="L17" s="39"/>
      <c r="M17" s="40"/>
    </row>
    <row r="18" spans="1:13" x14ac:dyDescent="0.45">
      <c r="A18" s="32"/>
      <c r="B18" s="36"/>
      <c r="C18" s="53" t="s">
        <v>204</v>
      </c>
      <c r="D18" s="42" t="s">
        <v>205</v>
      </c>
      <c r="E18" s="39"/>
      <c r="F18" s="39"/>
      <c r="G18" s="39"/>
      <c r="H18" s="39"/>
      <c r="I18" s="39"/>
      <c r="J18" s="39"/>
      <c r="K18" s="39"/>
      <c r="L18" s="39"/>
      <c r="M18" s="40"/>
    </row>
    <row r="19" spans="1:13" x14ac:dyDescent="0.45">
      <c r="A19" s="32"/>
      <c r="B19" s="36"/>
      <c r="C19" s="53" t="s">
        <v>272</v>
      </c>
      <c r="D19" s="44" t="s">
        <v>273</v>
      </c>
      <c r="E19" s="39"/>
      <c r="F19" s="39"/>
      <c r="G19" s="39"/>
      <c r="H19" s="39"/>
      <c r="I19" s="39"/>
      <c r="J19" s="39"/>
      <c r="K19" s="39"/>
      <c r="L19" s="39"/>
      <c r="M19" s="40"/>
    </row>
    <row r="20" spans="1:13" x14ac:dyDescent="0.45">
      <c r="A20" s="32"/>
      <c r="B20" s="36"/>
      <c r="C20" s="43"/>
      <c r="D20" s="39"/>
      <c r="E20" s="39"/>
      <c r="F20" s="39"/>
      <c r="G20" s="39"/>
      <c r="H20" s="39"/>
      <c r="I20" s="39"/>
      <c r="J20" s="39"/>
      <c r="K20" s="39"/>
      <c r="L20" s="39"/>
      <c r="M20" s="40"/>
    </row>
    <row r="21" spans="1:13" x14ac:dyDescent="0.45">
      <c r="A21" s="32"/>
      <c r="B21" s="36"/>
      <c r="C21" s="43"/>
      <c r="D21" s="39"/>
      <c r="E21" s="39"/>
      <c r="F21" s="39"/>
      <c r="G21" s="39"/>
      <c r="H21" s="39"/>
      <c r="I21" s="39"/>
      <c r="J21" s="39"/>
      <c r="K21" s="39"/>
      <c r="L21" s="39"/>
      <c r="M21" s="40"/>
    </row>
    <row r="22" spans="1:13" x14ac:dyDescent="0.45">
      <c r="A22" s="32"/>
      <c r="B22" s="55"/>
      <c r="C22" s="39"/>
      <c r="D22" s="39"/>
      <c r="E22" s="39"/>
      <c r="F22" s="39"/>
      <c r="G22" s="39"/>
      <c r="H22" s="39"/>
      <c r="I22" s="39"/>
      <c r="J22" s="39"/>
      <c r="K22" s="39"/>
      <c r="L22" s="39"/>
      <c r="M22" s="40"/>
    </row>
    <row r="23" spans="1:13" x14ac:dyDescent="0.45">
      <c r="A23" s="32"/>
      <c r="B23" s="36"/>
      <c r="C23" s="39"/>
      <c r="D23" s="39"/>
      <c r="E23" s="39"/>
      <c r="F23" s="39"/>
      <c r="G23" s="39"/>
      <c r="H23" s="39"/>
      <c r="I23" s="39"/>
      <c r="J23" s="39"/>
      <c r="K23" s="56"/>
      <c r="L23" s="39"/>
      <c r="M23" s="40"/>
    </row>
    <row r="24" spans="1:13" x14ac:dyDescent="0.45">
      <c r="A24" s="32"/>
      <c r="B24" s="36"/>
      <c r="C24" s="39"/>
      <c r="D24" s="39"/>
      <c r="E24" s="39"/>
      <c r="F24" s="39"/>
      <c r="G24" s="39"/>
      <c r="H24" s="39"/>
      <c r="I24" s="39"/>
      <c r="J24" s="39"/>
      <c r="K24" s="39"/>
      <c r="L24" s="39"/>
      <c r="M24" s="40"/>
    </row>
    <row r="25" spans="1:13" ht="14.65" thickBot="1" x14ac:dyDescent="0.5">
      <c r="B25" s="57"/>
      <c r="C25" s="58"/>
      <c r="D25" s="58"/>
      <c r="E25" s="58"/>
      <c r="F25" s="58"/>
      <c r="G25" s="58"/>
      <c r="H25" s="58"/>
      <c r="I25" s="58"/>
      <c r="J25" s="58"/>
      <c r="K25" s="58"/>
      <c r="L25" s="58"/>
      <c r="M25" s="59"/>
    </row>
    <row r="26" spans="1:13" ht="14.65" thickTop="1" x14ac:dyDescent="0.45"/>
  </sheetData>
  <sheetProtection password="C60A" sheet="1" objects="1" scenarios="1"/>
  <pageMargins left="0.7" right="0.7" top="0.75" bottom="0.75" header="0.3" footer="0.3"/>
  <pageSetup scale="76" orientation="portrait" r:id="rId1"/>
  <drawing r:id="rId2"/>
  <legacyDrawing r:id="rId3"/>
  <oleObjects>
    <mc:AlternateContent xmlns:mc="http://schemas.openxmlformats.org/markup-compatibility/2006">
      <mc:Choice Requires="x14">
        <oleObject progId="Acrobat Document" dvAspect="DVASPECT_ICON" shapeId="1027" r:id="rId4">
          <objectPr locked="0" defaultSize="0" macro="[0]!Object3_Click" r:id="rId5">
            <anchor moveWithCells="1">
              <from>
                <xdr:col>3</xdr:col>
                <xdr:colOff>95250</xdr:colOff>
                <xdr:row>19</xdr:row>
                <xdr:rowOff>133350</xdr:rowOff>
              </from>
              <to>
                <xdr:col>4</xdr:col>
                <xdr:colOff>361950</xdr:colOff>
                <xdr:row>23</xdr:row>
                <xdr:rowOff>95250</xdr:rowOff>
              </to>
            </anchor>
          </objectPr>
        </oleObject>
      </mc:Choice>
      <mc:Fallback>
        <oleObject progId="Acrobat Document" dvAspect="DVASPECT_ICON" shapeId="102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C17"/>
  <sheetViews>
    <sheetView workbookViewId="0">
      <selection activeCell="C3" sqref="C3"/>
    </sheetView>
  </sheetViews>
  <sheetFormatPr defaultRowHeight="14.25" x14ac:dyDescent="0.45"/>
  <sheetData>
    <row r="1" spans="1:3" x14ac:dyDescent="0.45">
      <c r="A1" t="s">
        <v>88</v>
      </c>
    </row>
    <row r="3" spans="1:3" x14ac:dyDescent="0.45">
      <c r="A3" t="s">
        <v>251</v>
      </c>
      <c r="C3" t="s">
        <v>97</v>
      </c>
    </row>
    <row r="4" spans="1:3" x14ac:dyDescent="0.45">
      <c r="A4" t="s">
        <v>97</v>
      </c>
      <c r="C4">
        <v>16</v>
      </c>
    </row>
    <row r="5" spans="1:3" x14ac:dyDescent="0.45">
      <c r="A5" t="s">
        <v>252</v>
      </c>
      <c r="C5">
        <v>24</v>
      </c>
    </row>
    <row r="6" spans="1:3" x14ac:dyDescent="0.45">
      <c r="A6" t="s">
        <v>253</v>
      </c>
      <c r="C6">
        <v>32</v>
      </c>
    </row>
    <row r="7" spans="1:3" x14ac:dyDescent="0.45">
      <c r="C7">
        <v>40</v>
      </c>
    </row>
    <row r="8" spans="1:3" x14ac:dyDescent="0.45">
      <c r="C8">
        <v>48</v>
      </c>
    </row>
    <row r="9" spans="1:3" x14ac:dyDescent="0.45">
      <c r="C9">
        <v>56</v>
      </c>
    </row>
    <row r="10" spans="1:3" x14ac:dyDescent="0.45">
      <c r="C10">
        <v>64</v>
      </c>
    </row>
    <row r="11" spans="1:3" x14ac:dyDescent="0.45">
      <c r="C11">
        <v>72</v>
      </c>
    </row>
    <row r="12" spans="1:3" x14ac:dyDescent="0.45">
      <c r="C12">
        <v>80</v>
      </c>
    </row>
    <row r="13" spans="1:3" x14ac:dyDescent="0.45">
      <c r="C13">
        <v>88</v>
      </c>
    </row>
    <row r="14" spans="1:3" x14ac:dyDescent="0.45">
      <c r="C14">
        <v>96</v>
      </c>
    </row>
    <row r="15" spans="1:3" x14ac:dyDescent="0.45">
      <c r="C15">
        <v>104</v>
      </c>
    </row>
    <row r="16" spans="1:3" x14ac:dyDescent="0.45">
      <c r="C16">
        <v>112</v>
      </c>
    </row>
    <row r="17" spans="3:3" x14ac:dyDescent="0.45">
      <c r="C17">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68"/>
  <sheetViews>
    <sheetView zoomScaleNormal="100" workbookViewId="0">
      <selection activeCell="B59" sqref="B59"/>
    </sheetView>
  </sheetViews>
  <sheetFormatPr defaultRowHeight="14.25" x14ac:dyDescent="0.45"/>
  <cols>
    <col min="1" max="1" width="12.3984375" customWidth="1"/>
    <col min="3" max="3" width="15.3984375" customWidth="1"/>
    <col min="5" max="5" width="14" customWidth="1"/>
    <col min="8" max="8" width="9.59765625" bestFit="1" customWidth="1"/>
    <col min="11" max="11" width="40" customWidth="1"/>
    <col min="13" max="13" width="83.3984375" customWidth="1"/>
  </cols>
  <sheetData>
    <row r="1" spans="1:11" ht="61.15" x14ac:dyDescent="1.75">
      <c r="J1" s="46"/>
    </row>
    <row r="4" spans="1:11" x14ac:dyDescent="0.45">
      <c r="A4" s="1" t="s">
        <v>0</v>
      </c>
    </row>
    <row r="5" spans="1:11" x14ac:dyDescent="0.45">
      <c r="A5" s="1" t="s">
        <v>95</v>
      </c>
      <c r="K5" s="1" t="s">
        <v>206</v>
      </c>
    </row>
    <row r="7" spans="1:11" x14ac:dyDescent="0.45">
      <c r="A7" t="s">
        <v>1</v>
      </c>
    </row>
    <row r="9" spans="1:11" x14ac:dyDescent="0.45">
      <c r="A9" s="27" t="s">
        <v>259</v>
      </c>
    </row>
    <row r="10" spans="1:11" x14ac:dyDescent="0.45">
      <c r="A10" t="s">
        <v>135</v>
      </c>
      <c r="C10" s="17"/>
    </row>
    <row r="11" spans="1:11" x14ac:dyDescent="0.45">
      <c r="A11" t="s">
        <v>136</v>
      </c>
    </row>
    <row r="12" spans="1:11" x14ac:dyDescent="0.45">
      <c r="A12" s="27" t="s">
        <v>260</v>
      </c>
      <c r="E12" t="s">
        <v>5</v>
      </c>
    </row>
    <row r="13" spans="1:11" x14ac:dyDescent="0.45">
      <c r="A13" t="s">
        <v>3</v>
      </c>
      <c r="B13" s="3"/>
      <c r="C13" s="17"/>
      <c r="E13" s="25">
        <f>C13-0.375</f>
        <v>-0.375</v>
      </c>
    </row>
    <row r="14" spans="1:11" x14ac:dyDescent="0.45">
      <c r="A14" t="s">
        <v>4</v>
      </c>
      <c r="B14" s="3"/>
      <c r="C14" s="18"/>
      <c r="E14" s="25">
        <f>C14-0.375</f>
        <v>-0.375</v>
      </c>
    </row>
    <row r="15" spans="1:11" x14ac:dyDescent="0.45">
      <c r="A15" t="s">
        <v>2</v>
      </c>
      <c r="B15" s="3"/>
      <c r="C15" s="18"/>
      <c r="E15" s="25">
        <f>C15-0.375</f>
        <v>-0.375</v>
      </c>
    </row>
    <row r="16" spans="1:11" x14ac:dyDescent="0.45">
      <c r="B16" s="3"/>
    </row>
    <row r="17" spans="1:13" x14ac:dyDescent="0.45">
      <c r="A17" s="27" t="s">
        <v>261</v>
      </c>
    </row>
    <row r="18" spans="1:13" x14ac:dyDescent="0.45">
      <c r="A18" t="s">
        <v>6</v>
      </c>
      <c r="C18" s="17"/>
    </row>
    <row r="19" spans="1:13" x14ac:dyDescent="0.45">
      <c r="A19" t="s">
        <v>7</v>
      </c>
      <c r="C19" s="18"/>
    </row>
    <row r="20" spans="1:13" x14ac:dyDescent="0.45">
      <c r="I20" s="4" t="s">
        <v>16</v>
      </c>
      <c r="K20" s="27" t="s">
        <v>268</v>
      </c>
    </row>
    <row r="21" spans="1:13" x14ac:dyDescent="0.45">
      <c r="A21" s="27" t="s">
        <v>262</v>
      </c>
      <c r="I21" s="5" t="s">
        <v>17</v>
      </c>
    </row>
    <row r="22" spans="1:13" x14ac:dyDescent="0.45">
      <c r="A22" t="s">
        <v>8</v>
      </c>
      <c r="C22" s="17"/>
      <c r="E22" t="s">
        <v>12</v>
      </c>
      <c r="G22" s="17"/>
      <c r="I22" s="19">
        <f>C22*G22</f>
        <v>0</v>
      </c>
      <c r="K22" t="s">
        <v>140</v>
      </c>
      <c r="M22" s="23" t="s">
        <v>97</v>
      </c>
    </row>
    <row r="23" spans="1:13" x14ac:dyDescent="0.45">
      <c r="A23" t="s">
        <v>9</v>
      </c>
      <c r="C23" s="18"/>
      <c r="E23" t="s">
        <v>13</v>
      </c>
      <c r="G23" s="18"/>
      <c r="I23" s="19">
        <f>C23*G23</f>
        <v>0</v>
      </c>
    </row>
    <row r="24" spans="1:13" x14ac:dyDescent="0.45">
      <c r="A24" t="s">
        <v>10</v>
      </c>
      <c r="C24" s="18"/>
      <c r="E24" t="s">
        <v>14</v>
      </c>
      <c r="G24" s="18"/>
      <c r="I24" s="19">
        <f>C24*G24</f>
        <v>0</v>
      </c>
      <c r="K24" t="s">
        <v>139</v>
      </c>
      <c r="M24" s="23" t="s">
        <v>97</v>
      </c>
    </row>
    <row r="25" spans="1:13" x14ac:dyDescent="0.45">
      <c r="A25" t="s">
        <v>11</v>
      </c>
      <c r="C25" s="18"/>
      <c r="E25" t="s">
        <v>15</v>
      </c>
      <c r="G25" s="18"/>
      <c r="I25" s="19">
        <f>C25*G25</f>
        <v>0</v>
      </c>
      <c r="K25" t="str">
        <f>IF(M24="Cavity Wall", "   - If Cavity Wall, Choose Veneer Type:","")</f>
        <v/>
      </c>
      <c r="M25" s="24"/>
    </row>
    <row r="26" spans="1:13" x14ac:dyDescent="0.45">
      <c r="H26" s="1" t="s">
        <v>18</v>
      </c>
      <c r="I26" s="20">
        <f>IF(E27="",SUM(I22:I25),E27)</f>
        <v>0</v>
      </c>
      <c r="K26" t="str">
        <f>IF(M24="Cavity Wall","   - If cavity wall, choose insulation type and thickness:","")</f>
        <v/>
      </c>
      <c r="M26" s="24"/>
    </row>
    <row r="27" spans="1:13" x14ac:dyDescent="0.45">
      <c r="A27" t="s">
        <v>19</v>
      </c>
      <c r="E27" s="6"/>
    </row>
    <row r="28" spans="1:13" x14ac:dyDescent="0.45">
      <c r="A28" s="26" t="s">
        <v>141</v>
      </c>
      <c r="E28" s="3"/>
    </row>
    <row r="30" spans="1:13" x14ac:dyDescent="0.45">
      <c r="A30" s="27" t="s">
        <v>263</v>
      </c>
    </row>
    <row r="31" spans="1:13" ht="15.75" x14ac:dyDescent="0.45">
      <c r="A31" t="s">
        <v>20</v>
      </c>
      <c r="C31" s="17"/>
      <c r="E31" t="s">
        <v>53</v>
      </c>
      <c r="H31" s="21">
        <f>IF(G32="",1/(0.6*(EXP(0.02*C31))),G32)</f>
        <v>1.6666666666666667</v>
      </c>
    </row>
    <row r="32" spans="1:13" ht="15.75" x14ac:dyDescent="0.45">
      <c r="A32" t="s">
        <v>246</v>
      </c>
      <c r="G32" s="6"/>
    </row>
    <row r="33" spans="1:8" x14ac:dyDescent="0.45">
      <c r="A33" s="26" t="s">
        <v>142</v>
      </c>
      <c r="G33" s="3"/>
    </row>
    <row r="35" spans="1:8" x14ac:dyDescent="0.45">
      <c r="A35" s="27" t="s">
        <v>264</v>
      </c>
    </row>
    <row r="36" spans="1:8" x14ac:dyDescent="0.45">
      <c r="A36" t="s">
        <v>144</v>
      </c>
      <c r="C36" s="7" t="s">
        <v>26</v>
      </c>
      <c r="F36" s="22" t="s">
        <v>76</v>
      </c>
    </row>
    <row r="37" spans="1:8" x14ac:dyDescent="0.45">
      <c r="A37" t="s">
        <v>138</v>
      </c>
      <c r="F37" s="22"/>
    </row>
    <row r="38" spans="1:8" x14ac:dyDescent="0.45">
      <c r="A38" s="7" t="s">
        <v>145</v>
      </c>
    </row>
    <row r="40" spans="1:8" x14ac:dyDescent="0.45">
      <c r="A40" s="27" t="s">
        <v>265</v>
      </c>
      <c r="H40" s="50"/>
    </row>
    <row r="41" spans="1:8" x14ac:dyDescent="0.45">
      <c r="A41" t="s">
        <v>266</v>
      </c>
      <c r="F41" s="17" t="s">
        <v>97</v>
      </c>
      <c r="H41" s="50"/>
    </row>
    <row r="42" spans="1:8" x14ac:dyDescent="0.45">
      <c r="A42" s="48" t="s">
        <v>254</v>
      </c>
      <c r="H42" s="50"/>
    </row>
    <row r="43" spans="1:8" x14ac:dyDescent="0.45">
      <c r="C43" t="s">
        <v>257</v>
      </c>
      <c r="F43" s="23" t="s">
        <v>97</v>
      </c>
      <c r="G43" s="52"/>
      <c r="H43" s="50" t="e">
        <f>IF(F43="None",(1/(F44/8))*100,IF(F44="None",(1/(F43/8))*100,((((F43/8)-1)+(F44/8))/((F43/8)*(F44/8)))*100))</f>
        <v>#VALUE!</v>
      </c>
    </row>
    <row r="44" spans="1:8" x14ac:dyDescent="0.45">
      <c r="C44" t="s">
        <v>258</v>
      </c>
      <c r="F44" s="23" t="s">
        <v>97</v>
      </c>
      <c r="G44" s="52"/>
      <c r="H44" s="50"/>
    </row>
    <row r="46" spans="1:8" x14ac:dyDescent="0.45">
      <c r="A46" t="s">
        <v>255</v>
      </c>
      <c r="F46" s="51">
        <f>100-F47</f>
        <v>100</v>
      </c>
      <c r="G46" t="s">
        <v>29</v>
      </c>
    </row>
    <row r="47" spans="1:8" x14ac:dyDescent="0.45">
      <c r="A47" t="s">
        <v>256</v>
      </c>
      <c r="F47" s="49">
        <f>IF(F41="None",0,IF(F41="Fully Grouted",100,ROUND(H43,1)))</f>
        <v>0</v>
      </c>
      <c r="G47" t="s">
        <v>29</v>
      </c>
    </row>
    <row r="49" spans="1:7" x14ac:dyDescent="0.45">
      <c r="A49" s="27" t="s">
        <v>267</v>
      </c>
    </row>
    <row r="50" spans="1:7" ht="15.75" x14ac:dyDescent="0.45">
      <c r="A50" t="s">
        <v>243</v>
      </c>
      <c r="F50" s="17"/>
      <c r="G50" t="s">
        <v>245</v>
      </c>
    </row>
    <row r="51" spans="1:7" x14ac:dyDescent="0.45">
      <c r="A51" s="7" t="s">
        <v>244</v>
      </c>
    </row>
    <row r="68" spans="3:3" x14ac:dyDescent="0.45">
      <c r="C68" s="50" t="e">
        <f>IF(A68="None",(1/(A69/8))*100,IF(A69="None",(1/(A68/8))*100,((((A68/8)-1)+(A69/8))/((A68/8)*(A69/8)))*100))</f>
        <v>#DIV/0!</v>
      </c>
    </row>
  </sheetData>
  <sheetProtection password="C60A" sheet="1" objects="1" scenarios="1"/>
  <protectedRanges>
    <protectedRange sqref="C10 C13:C15 C18:C19 C22:C25 G22:G25 C31 E27 G32 F36:F37 F47 F50 M22 M24:M26 F41:F44" name="Range1"/>
  </protectedRanges>
  <dataConsolidate/>
  <conditionalFormatting sqref="M25">
    <cfRule type="expression" dxfId="3" priority="2">
      <formula>$M$24="Cavity Wall"</formula>
    </cfRule>
  </conditionalFormatting>
  <conditionalFormatting sqref="M26">
    <cfRule type="expression" dxfId="2" priority="1">
      <formula>$M$24="Cavity Wall"</formula>
    </cfRule>
  </conditionalFormatting>
  <pageMargins left="0.7" right="0.7" top="0.75" bottom="0.75" header="0.3" footer="0.3"/>
  <pageSetup scale="52" orientation="landscape" horizontalDpi="1200" verticalDpi="120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0000000}">
          <x14:formula1>
            <xm:f>'Inside Finishes'!$B$3:$B$4</xm:f>
          </x14:formula1>
          <xm:sqref>F36</xm:sqref>
        </x14:dataValidation>
        <x14:dataValidation type="list" allowBlank="1" showInputMessage="1" showErrorMessage="1" xr:uid="{00000000-0002-0000-0100-000001000000}">
          <x14:formula1>
            <xm:f>'Inside Finishes'!$F$4:$F$39</xm:f>
          </x14:formula1>
          <xm:sqref>M22</xm:sqref>
        </x14:dataValidation>
        <x14:dataValidation type="list" allowBlank="1" showInputMessage="1" showErrorMessage="1" xr:uid="{00000000-0002-0000-0100-000002000000}">
          <x14:formula1>
            <xm:f>'Outside Finishes'!$C$7:$C$16</xm:f>
          </x14:formula1>
          <xm:sqref>M24</xm:sqref>
        </x14:dataValidation>
        <x14:dataValidation type="list" showInputMessage="1" showErrorMessage="1" xr:uid="{00000000-0002-0000-0100-000003000000}">
          <x14:formula1>
            <xm:f>'Outside Finishes'!$F$7:$F$11</xm:f>
          </x14:formula1>
          <xm:sqref>M25</xm:sqref>
        </x14:dataValidation>
        <x14:dataValidation type="list" showInputMessage="1" showErrorMessage="1" xr:uid="{00000000-0002-0000-0100-000004000000}">
          <x14:formula1>
            <xm:f>'Outside Finishes'!$I$7:$I$26</xm:f>
          </x14:formula1>
          <xm:sqref>M26</xm:sqref>
        </x14:dataValidation>
        <x14:dataValidation type="list" allowBlank="1" showInputMessage="1" showErrorMessage="1" xr:uid="{00000000-0002-0000-0100-000005000000}">
          <x14:formula1>
            <xm:f>Grouting!$A$4:$A$6</xm:f>
          </x14:formula1>
          <xm:sqref>F41</xm:sqref>
        </x14:dataValidation>
        <x14:dataValidation type="list" allowBlank="1" showInputMessage="1" showErrorMessage="1" xr:uid="{00000000-0002-0000-0100-000006000000}">
          <x14:formula1>
            <xm:f>Grouting!$C$3:$C$17</xm:f>
          </x14:formula1>
          <xm:sqref>F43:F44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M67"/>
  <sheetViews>
    <sheetView zoomScaleNormal="100" workbookViewId="0">
      <selection activeCell="I60" sqref="I60"/>
    </sheetView>
  </sheetViews>
  <sheetFormatPr defaultRowHeight="14.25" x14ac:dyDescent="0.45"/>
  <cols>
    <col min="1" max="1" width="12.3984375" customWidth="1"/>
    <col min="3" max="3" width="15.3984375" customWidth="1"/>
    <col min="8" max="8" width="9.59765625" bestFit="1" customWidth="1"/>
    <col min="11" max="11" width="40" customWidth="1"/>
    <col min="13" max="13" width="61.265625" customWidth="1"/>
  </cols>
  <sheetData>
    <row r="1" spans="1:11" ht="61.15" x14ac:dyDescent="1.75">
      <c r="J1" s="46"/>
    </row>
    <row r="4" spans="1:11" x14ac:dyDescent="0.45">
      <c r="A4" s="1" t="s">
        <v>0</v>
      </c>
    </row>
    <row r="5" spans="1:11" x14ac:dyDescent="0.45">
      <c r="A5" s="1" t="s">
        <v>151</v>
      </c>
      <c r="K5" s="1" t="s">
        <v>207</v>
      </c>
    </row>
    <row r="7" spans="1:11" x14ac:dyDescent="0.45">
      <c r="A7" t="s">
        <v>1</v>
      </c>
    </row>
    <row r="9" spans="1:11" ht="18" customHeight="1" x14ac:dyDescent="0.45">
      <c r="A9" s="27" t="s">
        <v>259</v>
      </c>
    </row>
    <row r="10" spans="1:11" x14ac:dyDescent="0.45">
      <c r="A10" t="s">
        <v>135</v>
      </c>
      <c r="C10" s="17"/>
    </row>
    <row r="11" spans="1:11" x14ac:dyDescent="0.45">
      <c r="A11" t="s">
        <v>136</v>
      </c>
    </row>
    <row r="12" spans="1:11" x14ac:dyDescent="0.45">
      <c r="A12" s="27" t="s">
        <v>260</v>
      </c>
      <c r="E12" t="s">
        <v>5</v>
      </c>
    </row>
    <row r="13" spans="1:11" x14ac:dyDescent="0.45">
      <c r="A13" t="s">
        <v>3</v>
      </c>
      <c r="B13" s="3"/>
      <c r="C13" s="17"/>
      <c r="E13" s="25">
        <f>C13-0.375</f>
        <v>-0.375</v>
      </c>
    </row>
    <row r="14" spans="1:11" x14ac:dyDescent="0.45">
      <c r="A14" t="s">
        <v>4</v>
      </c>
      <c r="B14" s="3"/>
      <c r="C14" s="18"/>
      <c r="E14" s="25">
        <f>C14-0.375</f>
        <v>-0.375</v>
      </c>
    </row>
    <row r="15" spans="1:11" x14ac:dyDescent="0.45">
      <c r="A15" t="s">
        <v>2</v>
      </c>
      <c r="B15" s="3"/>
      <c r="C15" s="18"/>
      <c r="E15" s="25">
        <f>C15-0.375</f>
        <v>-0.375</v>
      </c>
    </row>
    <row r="16" spans="1:11" x14ac:dyDescent="0.45">
      <c r="B16" s="3"/>
    </row>
    <row r="17" spans="1:13" x14ac:dyDescent="0.45">
      <c r="A17" s="27" t="s">
        <v>261</v>
      </c>
    </row>
    <row r="18" spans="1:13" x14ac:dyDescent="0.45">
      <c r="A18" t="s">
        <v>6</v>
      </c>
      <c r="C18" s="17"/>
    </row>
    <row r="19" spans="1:13" x14ac:dyDescent="0.45">
      <c r="A19" t="s">
        <v>7</v>
      </c>
      <c r="C19" s="18"/>
    </row>
    <row r="20" spans="1:13" x14ac:dyDescent="0.45">
      <c r="I20" s="4" t="s">
        <v>16</v>
      </c>
      <c r="K20" s="27" t="s">
        <v>268</v>
      </c>
    </row>
    <row r="21" spans="1:13" x14ac:dyDescent="0.45">
      <c r="A21" s="27" t="s">
        <v>269</v>
      </c>
      <c r="I21" s="5" t="s">
        <v>17</v>
      </c>
    </row>
    <row r="22" spans="1:13" x14ac:dyDescent="0.45">
      <c r="A22" t="s">
        <v>8</v>
      </c>
      <c r="C22" s="17"/>
      <c r="E22" t="s">
        <v>12</v>
      </c>
      <c r="G22" s="17"/>
      <c r="I22" s="19">
        <f>C22*G22</f>
        <v>0</v>
      </c>
      <c r="K22" t="s">
        <v>140</v>
      </c>
      <c r="M22" s="23" t="s">
        <v>97</v>
      </c>
    </row>
    <row r="23" spans="1:13" x14ac:dyDescent="0.45">
      <c r="A23" t="s">
        <v>9</v>
      </c>
      <c r="C23" s="18"/>
      <c r="E23" t="s">
        <v>13</v>
      </c>
      <c r="G23" s="18"/>
      <c r="I23" s="19">
        <f>C23*G23</f>
        <v>0</v>
      </c>
    </row>
    <row r="24" spans="1:13" x14ac:dyDescent="0.45">
      <c r="A24" t="s">
        <v>10</v>
      </c>
      <c r="C24" s="18"/>
      <c r="E24" t="s">
        <v>14</v>
      </c>
      <c r="G24" s="18"/>
      <c r="I24" s="19">
        <f>C24*G24</f>
        <v>0</v>
      </c>
      <c r="K24" t="s">
        <v>139</v>
      </c>
      <c r="M24" s="23" t="s">
        <v>97</v>
      </c>
    </row>
    <row r="25" spans="1:13" x14ac:dyDescent="0.45">
      <c r="A25" t="s">
        <v>11</v>
      </c>
      <c r="C25" s="18"/>
      <c r="E25" t="s">
        <v>15</v>
      </c>
      <c r="G25" s="18"/>
      <c r="I25" s="19">
        <f>C25*G25</f>
        <v>0</v>
      </c>
      <c r="K25" t="str">
        <f>IF(M24="Cavity Wall", "   - If Cavity Wall, Choose Veneer Type:","")</f>
        <v/>
      </c>
      <c r="M25" s="24"/>
    </row>
    <row r="26" spans="1:13" x14ac:dyDescent="0.45">
      <c r="H26" s="1" t="s">
        <v>18</v>
      </c>
      <c r="I26" s="20">
        <f>IF(E27="",SUM(I22:I25),E27)</f>
        <v>0</v>
      </c>
      <c r="K26" t="str">
        <f>IF(M24="Cavity Wall","   - If cavity wall, choose insulation type and thickness:","")</f>
        <v/>
      </c>
      <c r="M26" s="24"/>
    </row>
    <row r="27" spans="1:13" x14ac:dyDescent="0.45">
      <c r="A27" t="s">
        <v>146</v>
      </c>
      <c r="E27" s="6"/>
    </row>
    <row r="28" spans="1:13" x14ac:dyDescent="0.45">
      <c r="A28" s="26" t="s">
        <v>141</v>
      </c>
      <c r="E28" s="3"/>
    </row>
    <row r="30" spans="1:13" x14ac:dyDescent="0.45">
      <c r="A30" s="27" t="s">
        <v>271</v>
      </c>
    </row>
    <row r="31" spans="1:13" x14ac:dyDescent="0.45">
      <c r="A31" t="s">
        <v>148</v>
      </c>
      <c r="C31" s="17"/>
    </row>
    <row r="32" spans="1:13" x14ac:dyDescent="0.45">
      <c r="A32" t="s">
        <v>149</v>
      </c>
      <c r="C32" s="18"/>
    </row>
    <row r="33" spans="1:9" x14ac:dyDescent="0.45">
      <c r="A33" t="s">
        <v>150</v>
      </c>
      <c r="C33" s="18"/>
    </row>
    <row r="35" spans="1:9" x14ac:dyDescent="0.45">
      <c r="I35" s="4" t="s">
        <v>16</v>
      </c>
    </row>
    <row r="36" spans="1:9" x14ac:dyDescent="0.45">
      <c r="A36" s="27" t="s">
        <v>270</v>
      </c>
      <c r="I36" s="5" t="s">
        <v>17</v>
      </c>
    </row>
    <row r="37" spans="1:9" x14ac:dyDescent="0.45">
      <c r="A37" t="s">
        <v>8</v>
      </c>
      <c r="C37" s="17"/>
      <c r="E37" t="s">
        <v>12</v>
      </c>
      <c r="G37" s="17"/>
      <c r="I37" s="19">
        <f>C37*G37</f>
        <v>0</v>
      </c>
    </row>
    <row r="38" spans="1:9" x14ac:dyDescent="0.45">
      <c r="A38" t="s">
        <v>9</v>
      </c>
      <c r="C38" s="18"/>
      <c r="E38" t="s">
        <v>13</v>
      </c>
      <c r="G38" s="18"/>
      <c r="I38" s="19">
        <f>C38*G38</f>
        <v>0</v>
      </c>
    </row>
    <row r="39" spans="1:9" x14ac:dyDescent="0.45">
      <c r="A39" t="s">
        <v>10</v>
      </c>
      <c r="C39" s="18"/>
      <c r="E39" t="s">
        <v>14</v>
      </c>
      <c r="G39" s="18"/>
      <c r="I39" s="19">
        <f>C39*G39</f>
        <v>0</v>
      </c>
    </row>
    <row r="40" spans="1:9" x14ac:dyDescent="0.45">
      <c r="A40" t="s">
        <v>11</v>
      </c>
      <c r="C40" s="18"/>
      <c r="E40" t="s">
        <v>15</v>
      </c>
      <c r="G40" s="18"/>
      <c r="I40" s="19">
        <f>C40*G40</f>
        <v>0</v>
      </c>
    </row>
    <row r="41" spans="1:9" x14ac:dyDescent="0.45">
      <c r="H41" s="1" t="s">
        <v>18</v>
      </c>
      <c r="I41" s="20">
        <f>IF(E42="",SUM(I37:I40),E42)</f>
        <v>0</v>
      </c>
    </row>
    <row r="42" spans="1:9" x14ac:dyDescent="0.45">
      <c r="A42" t="s">
        <v>147</v>
      </c>
      <c r="E42" s="6"/>
    </row>
    <row r="43" spans="1:9" x14ac:dyDescent="0.45">
      <c r="A43" s="26" t="s">
        <v>141</v>
      </c>
      <c r="E43" s="3"/>
    </row>
    <row r="46" spans="1:9" x14ac:dyDescent="0.45">
      <c r="A46" s="27" t="s">
        <v>263</v>
      </c>
    </row>
    <row r="47" spans="1:9" ht="15.75" x14ac:dyDescent="0.45">
      <c r="A47" t="s">
        <v>20</v>
      </c>
      <c r="C47" s="17"/>
      <c r="E47" t="s">
        <v>53</v>
      </c>
      <c r="H47" s="21">
        <f>IF(G48="",1/(0.6*(EXP(0.02*C47))),G48)</f>
        <v>1.6666666666666667</v>
      </c>
    </row>
    <row r="48" spans="1:9" ht="15.75" x14ac:dyDescent="0.45">
      <c r="A48" t="s">
        <v>143</v>
      </c>
      <c r="G48" s="6"/>
    </row>
    <row r="49" spans="1:8" x14ac:dyDescent="0.45">
      <c r="A49" s="26" t="s">
        <v>142</v>
      </c>
      <c r="G49" s="3"/>
    </row>
    <row r="51" spans="1:8" x14ac:dyDescent="0.45">
      <c r="A51" s="27" t="s">
        <v>264</v>
      </c>
    </row>
    <row r="52" spans="1:8" x14ac:dyDescent="0.45">
      <c r="A52" t="s">
        <v>144</v>
      </c>
      <c r="C52" s="7" t="s">
        <v>26</v>
      </c>
      <c r="F52" s="22" t="s">
        <v>76</v>
      </c>
    </row>
    <row r="53" spans="1:8" x14ac:dyDescent="0.45">
      <c r="A53" t="s">
        <v>138</v>
      </c>
      <c r="F53" s="22">
        <v>0</v>
      </c>
    </row>
    <row r="54" spans="1:8" x14ac:dyDescent="0.45">
      <c r="A54" s="7" t="s">
        <v>145</v>
      </c>
    </row>
    <row r="55" spans="1:8" x14ac:dyDescent="0.45">
      <c r="A55" s="7"/>
    </row>
    <row r="56" spans="1:8" x14ac:dyDescent="0.45">
      <c r="A56" s="27" t="s">
        <v>265</v>
      </c>
    </row>
    <row r="57" spans="1:8" x14ac:dyDescent="0.45">
      <c r="A57" t="s">
        <v>266</v>
      </c>
      <c r="F57" s="17" t="s">
        <v>97</v>
      </c>
    </row>
    <row r="58" spans="1:8" x14ac:dyDescent="0.45">
      <c r="A58" s="48" t="s">
        <v>254</v>
      </c>
      <c r="G58" s="50"/>
      <c r="H58" s="50"/>
    </row>
    <row r="59" spans="1:8" x14ac:dyDescent="0.45">
      <c r="C59" t="s">
        <v>257</v>
      </c>
      <c r="F59" s="17" t="s">
        <v>97</v>
      </c>
      <c r="G59" s="50"/>
      <c r="H59" s="50" t="e">
        <f>IF(F59="None",(1/(F60/8))*100,IF(F60="None",(1/(F59/8))*100,((((F59/8)-1)+(F60/8))/((F59/8)*(F60/8)))*100))</f>
        <v>#VALUE!</v>
      </c>
    </row>
    <row r="60" spans="1:8" x14ac:dyDescent="0.45">
      <c r="C60" t="s">
        <v>258</v>
      </c>
      <c r="F60" s="18" t="s">
        <v>97</v>
      </c>
      <c r="G60" s="50"/>
      <c r="H60" s="50"/>
    </row>
    <row r="62" spans="1:8" x14ac:dyDescent="0.45">
      <c r="A62" t="s">
        <v>28</v>
      </c>
      <c r="F62" s="51">
        <f>100-F63</f>
        <v>100</v>
      </c>
      <c r="G62" t="s">
        <v>29</v>
      </c>
    </row>
    <row r="63" spans="1:8" x14ac:dyDescent="0.45">
      <c r="A63" t="s">
        <v>27</v>
      </c>
      <c r="F63" s="49">
        <f>IF(F57="None",0,IF(F57="Fully Grouted",100,ROUND(H59,1)))</f>
        <v>0</v>
      </c>
      <c r="G63" t="s">
        <v>29</v>
      </c>
    </row>
    <row r="65" spans="1:7" x14ac:dyDescent="0.45">
      <c r="A65" s="27" t="s">
        <v>267</v>
      </c>
    </row>
    <row r="66" spans="1:7" ht="15.75" x14ac:dyDescent="0.45">
      <c r="A66" t="s">
        <v>243</v>
      </c>
      <c r="F66" s="17"/>
      <c r="G66" t="s">
        <v>245</v>
      </c>
    </row>
    <row r="67" spans="1:7" x14ac:dyDescent="0.45">
      <c r="A67" s="7" t="s">
        <v>244</v>
      </c>
    </row>
  </sheetData>
  <sheetProtection password="C60A" sheet="1" objects="1" scenarios="1"/>
  <protectedRanges>
    <protectedRange sqref="C10 C13:C15 C18:C19 C22:C25 G22:G25 E27 C31:C33 C37:C40 G37:G40 E42 C47 G48 F52:F53 F66 M22 M24:M26 F57:F60" name="Range1"/>
  </protectedRanges>
  <conditionalFormatting sqref="M25">
    <cfRule type="expression" dxfId="1" priority="1">
      <formula>$M$24="Cavity Wall"</formula>
    </cfRule>
  </conditionalFormatting>
  <conditionalFormatting sqref="M26">
    <cfRule type="expression" dxfId="0" priority="2">
      <formula>$M$24="Cavity Wall"</formula>
    </cfRule>
  </conditionalFormatting>
  <pageMargins left="0.7" right="0.7" top="0.75" bottom="0.75" header="0.3" footer="0.3"/>
  <pageSetup scale="52" orientation="landscape" r:id="rId1"/>
  <drawing r:id="rId2"/>
  <extLst>
    <ext xmlns:x14="http://schemas.microsoft.com/office/spreadsheetml/2009/9/main" uri="{CCE6A557-97BC-4b89-ADB6-D9C93CAAB3DF}">
      <x14:dataValidations xmlns:xm="http://schemas.microsoft.com/office/excel/2006/main" count="7">
        <x14:dataValidation type="list" showInputMessage="1" showErrorMessage="1" xr:uid="{00000000-0002-0000-0200-000000000000}">
          <x14:formula1>
            <xm:f>'Outside Finishes'!$I$7:$I$26</xm:f>
          </x14:formula1>
          <xm:sqref>M26</xm:sqref>
        </x14:dataValidation>
        <x14:dataValidation type="list" showInputMessage="1" showErrorMessage="1" xr:uid="{00000000-0002-0000-0200-000001000000}">
          <x14:formula1>
            <xm:f>'Outside Finishes'!$F$7:$F$11</xm:f>
          </x14:formula1>
          <xm:sqref>M25</xm:sqref>
        </x14:dataValidation>
        <x14:dataValidation type="list" allowBlank="1" showInputMessage="1" showErrorMessage="1" xr:uid="{00000000-0002-0000-0200-000002000000}">
          <x14:formula1>
            <xm:f>'Outside Finishes'!$C$7:$C$16</xm:f>
          </x14:formula1>
          <xm:sqref>M24</xm:sqref>
        </x14:dataValidation>
        <x14:dataValidation type="list" allowBlank="1" showInputMessage="1" showErrorMessage="1" xr:uid="{00000000-0002-0000-0200-000003000000}">
          <x14:formula1>
            <xm:f>'Inside Finishes'!$F$4:$F$39</xm:f>
          </x14:formula1>
          <xm:sqref>M22</xm:sqref>
        </x14:dataValidation>
        <x14:dataValidation type="list" allowBlank="1" showInputMessage="1" showErrorMessage="1" xr:uid="{00000000-0002-0000-0200-000004000000}">
          <x14:formula1>
            <xm:f>'Inside Finishes'!$B$3:$B$4</xm:f>
          </x14:formula1>
          <xm:sqref>F52</xm:sqref>
        </x14:dataValidation>
        <x14:dataValidation type="list" allowBlank="1" showInputMessage="1" showErrorMessage="1" xr:uid="{00000000-0002-0000-0200-000005000000}">
          <x14:formula1>
            <xm:f>Grouting!$A$4:$A$6</xm:f>
          </x14:formula1>
          <xm:sqref>F57</xm:sqref>
        </x14:dataValidation>
        <x14:dataValidation type="list" allowBlank="1" showInputMessage="1" showErrorMessage="1" xr:uid="{00000000-0002-0000-0200-000006000000}">
          <x14:formula1>
            <xm:f>Grouting!$C$3:$C$17</xm:f>
          </x14:formula1>
          <xm:sqref>F59:F60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40"/>
  <sheetViews>
    <sheetView view="pageBreakPreview" zoomScale="60" zoomScaleNormal="100" workbookViewId="0">
      <selection activeCell="D11" sqref="D11"/>
    </sheetView>
  </sheetViews>
  <sheetFormatPr defaultRowHeight="14.25" x14ac:dyDescent="0.45"/>
  <cols>
    <col min="1" max="1" width="23.86328125" customWidth="1"/>
    <col min="2" max="2" width="31.3984375" customWidth="1"/>
  </cols>
  <sheetData>
    <row r="1" spans="1:6" ht="25.5" x14ac:dyDescent="0.75">
      <c r="A1" s="60"/>
      <c r="B1" s="60"/>
      <c r="C1" s="60"/>
      <c r="D1" s="60"/>
      <c r="E1" s="60"/>
      <c r="F1" s="60"/>
    </row>
    <row r="7" spans="1:6" x14ac:dyDescent="0.45">
      <c r="A7" s="1" t="s">
        <v>274</v>
      </c>
    </row>
    <row r="8" spans="1:6" x14ac:dyDescent="0.45">
      <c r="A8" s="1"/>
    </row>
    <row r="9" spans="1:6" x14ac:dyDescent="0.45">
      <c r="A9" s="2" t="s">
        <v>83</v>
      </c>
    </row>
    <row r="10" spans="1:6" x14ac:dyDescent="0.45">
      <c r="A10" s="13" t="str">
        <f>'Hidden Outputs'!M4</f>
        <v>CMU Description:</v>
      </c>
      <c r="B10" s="4" t="str">
        <f>'Hidden Outputs'!N4</f>
        <v>No Description Input</v>
      </c>
    </row>
    <row r="11" spans="1:6" x14ac:dyDescent="0.45">
      <c r="A11" s="13" t="str">
        <f>'Hidden Outputs'!M5</f>
        <v>CMU Dimensions:</v>
      </c>
      <c r="B11" s="4" t="str">
        <f>'Hidden Outputs'!N5</f>
        <v>---</v>
      </c>
      <c r="C11" t="s">
        <v>86</v>
      </c>
    </row>
    <row r="12" spans="1:6" ht="15.75" x14ac:dyDescent="0.45">
      <c r="A12" s="13" t="str">
        <f>'Hidden Outputs'!M6</f>
        <v>CMU Density:</v>
      </c>
      <c r="B12" s="4" t="str">
        <f>'Hidden Outputs'!N6</f>
        <v>---</v>
      </c>
      <c r="C12" t="s">
        <v>168</v>
      </c>
    </row>
    <row r="13" spans="1:6" x14ac:dyDescent="0.45">
      <c r="A13" s="13" t="str">
        <f>'Hidden Outputs'!M7</f>
        <v>Concrete Resistivity:</v>
      </c>
      <c r="B13" s="12" t="str">
        <f>'Hidden Outputs'!N7</f>
        <v>---</v>
      </c>
    </row>
    <row r="14" spans="1:6" x14ac:dyDescent="0.45">
      <c r="A14" s="13" t="str">
        <f>'Hidden Outputs'!M8</f>
        <v/>
      </c>
      <c r="B14" s="4" t="str">
        <f>'Hidden Outputs'!N8</f>
        <v/>
      </c>
    </row>
    <row r="15" spans="1:6" x14ac:dyDescent="0.45">
      <c r="A15" s="2" t="str">
        <f>'Hidden Outputs'!M9</f>
        <v>Grouting:</v>
      </c>
      <c r="B15" s="4" t="str">
        <f>'Hidden Outputs'!N9</f>
        <v>---</v>
      </c>
      <c r="C15" s="47" t="str">
        <f>'Hidden Outputs'!O9</f>
        <v/>
      </c>
    </row>
    <row r="16" spans="1:6" x14ac:dyDescent="0.45">
      <c r="A16" s="13" t="str">
        <f>'Hidden Outputs'!M10</f>
        <v>Ungrouted Cores:</v>
      </c>
      <c r="B16" s="4" t="str">
        <f>'Hidden Outputs'!N10</f>
        <v>---</v>
      </c>
      <c r="C16" s="47" t="str">
        <f>'Hidden Outputs'!O10</f>
        <v/>
      </c>
    </row>
    <row r="17" spans="1:3" ht="15.75" x14ac:dyDescent="0.45">
      <c r="A17" s="13" t="str">
        <f>'Hidden Outputs'!M11</f>
        <v>Total Web Area:</v>
      </c>
      <c r="B17" s="4" t="str">
        <f>'Hidden Outputs'!N11</f>
        <v>---</v>
      </c>
      <c r="C17" t="s">
        <v>169</v>
      </c>
    </row>
    <row r="18" spans="1:3" x14ac:dyDescent="0.45">
      <c r="A18" s="13"/>
      <c r="B18" s="4"/>
    </row>
    <row r="19" spans="1:3" x14ac:dyDescent="0.45">
      <c r="A19" s="2" t="str">
        <f>'Hidden Outputs'!M13</f>
        <v>Surface Finish</v>
      </c>
      <c r="B19" s="4"/>
    </row>
    <row r="20" spans="1:3" x14ac:dyDescent="0.45">
      <c r="A20" s="13" t="str">
        <f>'Hidden Outputs'!M14</f>
        <v xml:space="preserve">   - Exterior:</v>
      </c>
      <c r="B20" s="4" t="str">
        <f>'Hidden Outputs'!N14</f>
        <v>---</v>
      </c>
    </row>
    <row r="21" spans="1:3" x14ac:dyDescent="0.45">
      <c r="A21" s="13" t="str">
        <f>'Hidden Outputs'!M15</f>
        <v xml:space="preserve">   - Interior:</v>
      </c>
      <c r="B21" s="4" t="str">
        <f>'Hidden Outputs'!N15</f>
        <v>---</v>
      </c>
    </row>
    <row r="22" spans="1:3" x14ac:dyDescent="0.45">
      <c r="A22" s="13"/>
      <c r="B22" s="4"/>
    </row>
    <row r="23" spans="1:3" x14ac:dyDescent="0.45">
      <c r="A23" s="2" t="str">
        <f>'Hidden Outputs'!M17</f>
        <v>Assembly Details</v>
      </c>
      <c r="B23" s="4"/>
    </row>
    <row r="24" spans="1:3" x14ac:dyDescent="0.45">
      <c r="A24" s="13" t="str">
        <f>'Hidden Outputs'!M18</f>
        <v>Inside Air Film:</v>
      </c>
      <c r="B24" s="4" t="str">
        <f>'Hidden Outputs'!N18</f>
        <v>---</v>
      </c>
    </row>
    <row r="25" spans="1:3" x14ac:dyDescent="0.45">
      <c r="A25" s="13" t="str">
        <f>'Hidden Outputs'!M19</f>
        <v>Outside Air Film:</v>
      </c>
      <c r="B25" s="4" t="str">
        <f>'Hidden Outputs'!N19</f>
        <v>---</v>
      </c>
    </row>
    <row r="26" spans="1:3" x14ac:dyDescent="0.45">
      <c r="A26" s="13" t="str">
        <f>'Hidden Outputs'!M20</f>
        <v>R value - CMU:</v>
      </c>
      <c r="B26" s="12" t="str">
        <f>'Hidden Outputs'!N20</f>
        <v>---</v>
      </c>
    </row>
    <row r="27" spans="1:3" x14ac:dyDescent="0.45">
      <c r="A27" s="13" t="str">
        <f>'Hidden Outputs'!M21</f>
        <v>R value - Outside Finish:</v>
      </c>
      <c r="B27" s="4" t="str">
        <f>'Hidden Outputs'!N21</f>
        <v>---</v>
      </c>
    </row>
    <row r="28" spans="1:3" x14ac:dyDescent="0.45">
      <c r="A28" s="13" t="str">
        <f>'Hidden Outputs'!M22</f>
        <v>R-Value - Inside Finish:</v>
      </c>
      <c r="B28" s="4" t="str">
        <f>'Hidden Outputs'!N22</f>
        <v>---</v>
      </c>
    </row>
    <row r="29" spans="1:3" x14ac:dyDescent="0.45">
      <c r="A29" s="13"/>
      <c r="B29" s="4"/>
    </row>
    <row r="30" spans="1:3" x14ac:dyDescent="0.45">
      <c r="A30" s="1" t="str">
        <f>'Hidden Outputs'!M24</f>
        <v>Assembly R-Value:</v>
      </c>
      <c r="B30" s="11" t="str">
        <f>'Hidden Outputs'!N24</f>
        <v>---</v>
      </c>
    </row>
    <row r="31" spans="1:3" x14ac:dyDescent="0.45">
      <c r="A31" s="1" t="str">
        <f>'Hidden Outputs'!M25</f>
        <v>Assembly U-Factor:</v>
      </c>
      <c r="B31" s="30" t="str">
        <f>'Hidden Outputs'!N25</f>
        <v>---</v>
      </c>
    </row>
    <row r="32" spans="1:3" x14ac:dyDescent="0.45">
      <c r="A32" s="1" t="str">
        <f>'Hidden Outputs'!M26</f>
        <v>Assembly Heat Capacity:</v>
      </c>
      <c r="B32" s="31" t="str">
        <f>'Hidden Outputs'!N26</f>
        <v>---</v>
      </c>
    </row>
    <row r="33" spans="1:6" x14ac:dyDescent="0.45">
      <c r="A33" s="13"/>
    </row>
    <row r="34" spans="1:6" x14ac:dyDescent="0.45">
      <c r="A34" s="13"/>
    </row>
    <row r="35" spans="1:6" x14ac:dyDescent="0.45">
      <c r="A35" s="13"/>
    </row>
    <row r="36" spans="1:6" x14ac:dyDescent="0.45">
      <c r="A36" s="13"/>
    </row>
    <row r="37" spans="1:6" x14ac:dyDescent="0.45">
      <c r="A37" s="13"/>
    </row>
    <row r="38" spans="1:6" x14ac:dyDescent="0.45">
      <c r="A38" s="13"/>
    </row>
    <row r="39" spans="1:6" x14ac:dyDescent="0.45">
      <c r="A39" s="13"/>
    </row>
    <row r="40" spans="1:6" ht="25.5" x14ac:dyDescent="0.75">
      <c r="A40" s="60"/>
      <c r="B40" s="60"/>
      <c r="C40" s="60"/>
      <c r="D40" s="60"/>
      <c r="E40" s="60"/>
      <c r="F40" s="60"/>
    </row>
  </sheetData>
  <sheetProtection password="C60A" sheet="1" objects="1" scenarios="1"/>
  <mergeCells count="2">
    <mergeCell ref="A1:F1"/>
    <mergeCell ref="A40:F40"/>
  </mergeCells>
  <pageMargins left="0.7" right="0.7" top="0.75" bottom="0.75" header="0.3" footer="0.3"/>
  <pageSetup paperSize="1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T31"/>
  <sheetViews>
    <sheetView workbookViewId="0">
      <selection activeCell="T8" sqref="T8"/>
    </sheetView>
  </sheetViews>
  <sheetFormatPr defaultRowHeight="14.25" x14ac:dyDescent="0.45"/>
  <cols>
    <col min="12" max="12" width="10.73046875" customWidth="1"/>
  </cols>
  <sheetData>
    <row r="1" spans="1:20" x14ac:dyDescent="0.45">
      <c r="A1" t="s">
        <v>96</v>
      </c>
    </row>
    <row r="2" spans="1:20" x14ac:dyDescent="0.45">
      <c r="L2" s="2" t="s">
        <v>41</v>
      </c>
      <c r="P2" t="s">
        <v>62</v>
      </c>
    </row>
    <row r="3" spans="1:20" x14ac:dyDescent="0.45">
      <c r="A3" t="s">
        <v>21</v>
      </c>
      <c r="D3" t="s">
        <v>25</v>
      </c>
      <c r="G3" t="s">
        <v>38</v>
      </c>
      <c r="J3">
        <f>'Input (3 Layer)'!C18</f>
        <v>0</v>
      </c>
      <c r="L3" t="s">
        <v>42</v>
      </c>
      <c r="M3" s="8">
        <f>'Input (3 Layer)'!H31</f>
        <v>1.6666666666666667</v>
      </c>
    </row>
    <row r="4" spans="1:20" x14ac:dyDescent="0.45">
      <c r="A4" t="s">
        <v>23</v>
      </c>
      <c r="B4">
        <f>'Input (3 Layer)'!C13</f>
        <v>0</v>
      </c>
      <c r="C4" t="s">
        <v>32</v>
      </c>
      <c r="D4" t="s">
        <v>23</v>
      </c>
      <c r="E4">
        <f>B4-0.375</f>
        <v>-0.375</v>
      </c>
      <c r="G4" t="s">
        <v>39</v>
      </c>
      <c r="J4">
        <f>'Input (3 Layer)'!C19</f>
        <v>0</v>
      </c>
      <c r="L4" t="s">
        <v>43</v>
      </c>
      <c r="M4">
        <v>0.1</v>
      </c>
      <c r="P4" t="s">
        <v>63</v>
      </c>
      <c r="R4" t="e">
        <f>J12+J20+J28+0.68+0.17</f>
        <v>#DIV/0!</v>
      </c>
      <c r="S4" t="s">
        <v>247</v>
      </c>
      <c r="T4" t="e">
        <f>1/R4</f>
        <v>#DIV/0!</v>
      </c>
    </row>
    <row r="5" spans="1:20" x14ac:dyDescent="0.45">
      <c r="A5" t="s">
        <v>24</v>
      </c>
      <c r="B5">
        <f>'Input (3 Layer)'!C14</f>
        <v>0</v>
      </c>
      <c r="C5" t="s">
        <v>32</v>
      </c>
      <c r="D5" t="s">
        <v>24</v>
      </c>
      <c r="E5">
        <f>B5-0.375</f>
        <v>-0.375</v>
      </c>
      <c r="L5" t="s">
        <v>44</v>
      </c>
      <c r="M5">
        <v>0.1</v>
      </c>
      <c r="P5" t="s">
        <v>64</v>
      </c>
      <c r="R5" t="e">
        <f>J12+J22+J28+0.68+0.17</f>
        <v>#DIV/0!</v>
      </c>
      <c r="S5" t="s">
        <v>248</v>
      </c>
      <c r="T5" t="e">
        <f>1/R5</f>
        <v>#DIV/0!</v>
      </c>
    </row>
    <row r="6" spans="1:20" x14ac:dyDescent="0.45">
      <c r="A6" t="s">
        <v>22</v>
      </c>
      <c r="B6">
        <f>'Input (3 Layer)'!C15</f>
        <v>0</v>
      </c>
      <c r="C6" t="s">
        <v>32</v>
      </c>
      <c r="D6" t="s">
        <v>22</v>
      </c>
      <c r="E6">
        <f>B6-0.375</f>
        <v>-0.375</v>
      </c>
      <c r="G6" t="s">
        <v>40</v>
      </c>
      <c r="J6">
        <f>'Input (3 Layer)'!I26</f>
        <v>0</v>
      </c>
      <c r="L6" t="s">
        <v>45</v>
      </c>
      <c r="M6">
        <f>0.97/G20</f>
        <v>-2.5866666666666664</v>
      </c>
    </row>
    <row r="7" spans="1:20" x14ac:dyDescent="0.45">
      <c r="L7" t="s">
        <v>47</v>
      </c>
      <c r="M7">
        <f>'Input (3 Layer)'!F37</f>
        <v>0</v>
      </c>
      <c r="P7" t="s">
        <v>74</v>
      </c>
      <c r="R7" t="e">
        <f>(1/T7)-0.68-0.17</f>
        <v>#DIV/0!</v>
      </c>
      <c r="S7" t="s">
        <v>249</v>
      </c>
      <c r="T7" t="e">
        <f>(('Input (3 Layer)'!F46/100)*'CMU Calculations (3 Layer)'!T4)+(('Input (3 Layer)'!F47/100)*'CMU Calculations (3 Layer)'!T5)</f>
        <v>#DIV/0!</v>
      </c>
    </row>
    <row r="8" spans="1:20" x14ac:dyDescent="0.45">
      <c r="A8" t="s">
        <v>30</v>
      </c>
      <c r="B8">
        <f>B6*B5</f>
        <v>0</v>
      </c>
      <c r="C8" t="s">
        <v>31</v>
      </c>
      <c r="L8" t="s">
        <v>46</v>
      </c>
      <c r="M8">
        <f>IF('Input (3 Layer)'!F36="insulation",'CMU Calculations (3 Layer)'!M7,'CMU Calculations (3 Layer)'!M6)</f>
        <v>-2.5866666666666664</v>
      </c>
      <c r="P8" t="s">
        <v>250</v>
      </c>
    </row>
    <row r="11" spans="1:20" x14ac:dyDescent="0.45">
      <c r="A11" s="1" t="s">
        <v>33</v>
      </c>
    </row>
    <row r="12" spans="1:20" x14ac:dyDescent="0.45">
      <c r="A12" t="s">
        <v>34</v>
      </c>
      <c r="C12">
        <f>E6*E5</f>
        <v>0.140625</v>
      </c>
      <c r="E12" t="s">
        <v>48</v>
      </c>
      <c r="G12">
        <f>J3</f>
        <v>0</v>
      </c>
      <c r="I12" t="s">
        <v>55</v>
      </c>
      <c r="J12" t="e">
        <f>(G13*G14)/((G13*C15)+(G14*C14))</f>
        <v>#DIV/0!</v>
      </c>
    </row>
    <row r="13" spans="1:20" x14ac:dyDescent="0.45">
      <c r="A13" t="s">
        <v>35</v>
      </c>
      <c r="C13">
        <f>B8-C12</f>
        <v>-0.140625</v>
      </c>
      <c r="E13" t="s">
        <v>54</v>
      </c>
      <c r="G13">
        <f>G12*M3</f>
        <v>0</v>
      </c>
    </row>
    <row r="14" spans="1:20" x14ac:dyDescent="0.45">
      <c r="A14" t="s">
        <v>36</v>
      </c>
      <c r="C14" t="e">
        <f>C12/B8</f>
        <v>#DIV/0!</v>
      </c>
      <c r="E14" t="s">
        <v>43</v>
      </c>
      <c r="G14">
        <f>G12*M4</f>
        <v>0</v>
      </c>
    </row>
    <row r="15" spans="1:20" x14ac:dyDescent="0.45">
      <c r="A15" t="s">
        <v>37</v>
      </c>
      <c r="C15" t="e">
        <f>C13/B8</f>
        <v>#DIV/0!</v>
      </c>
    </row>
    <row r="19" spans="1:11" x14ac:dyDescent="0.45">
      <c r="A19" s="1" t="s">
        <v>49</v>
      </c>
    </row>
    <row r="20" spans="1:11" x14ac:dyDescent="0.45">
      <c r="A20" t="s">
        <v>34</v>
      </c>
      <c r="C20">
        <f>J6</f>
        <v>0</v>
      </c>
      <c r="E20" t="s">
        <v>48</v>
      </c>
      <c r="G20">
        <f>E4-J3-J4</f>
        <v>-0.375</v>
      </c>
      <c r="I20" t="s">
        <v>58</v>
      </c>
      <c r="J20" t="e">
        <f>(G21*G22)/((G21*C23)+(G22*C22))</f>
        <v>#DIV/0!</v>
      </c>
      <c r="K20" t="s">
        <v>59</v>
      </c>
    </row>
    <row r="21" spans="1:11" x14ac:dyDescent="0.45">
      <c r="A21" t="s">
        <v>50</v>
      </c>
      <c r="C21">
        <f>B8-C20</f>
        <v>0</v>
      </c>
      <c r="E21" t="s">
        <v>57</v>
      </c>
      <c r="G21">
        <f>G20*M3</f>
        <v>-0.625</v>
      </c>
    </row>
    <row r="22" spans="1:11" x14ac:dyDescent="0.45">
      <c r="A22" t="s">
        <v>36</v>
      </c>
      <c r="C22" t="e">
        <f>C20/B8</f>
        <v>#DIV/0!</v>
      </c>
      <c r="E22" t="s">
        <v>46</v>
      </c>
      <c r="G22">
        <f>G20*M8</f>
        <v>0.97</v>
      </c>
      <c r="I22" t="s">
        <v>60</v>
      </c>
      <c r="J22" t="e">
        <f>(G24*G25)/((G24*C23)+(G25*C22))</f>
        <v>#DIV/0!</v>
      </c>
      <c r="K22" t="s">
        <v>61</v>
      </c>
    </row>
    <row r="23" spans="1:11" x14ac:dyDescent="0.45">
      <c r="A23" t="s">
        <v>51</v>
      </c>
      <c r="C23" t="e">
        <f>C21/B8</f>
        <v>#DIV/0!</v>
      </c>
    </row>
    <row r="24" spans="1:11" x14ac:dyDescent="0.45">
      <c r="E24" t="s">
        <v>57</v>
      </c>
      <c r="G24">
        <f>G20*M3</f>
        <v>-0.625</v>
      </c>
    </row>
    <row r="25" spans="1:11" x14ac:dyDescent="0.45">
      <c r="E25" t="s">
        <v>44</v>
      </c>
      <c r="G25">
        <f>G20*M5</f>
        <v>-3.7500000000000006E-2</v>
      </c>
    </row>
    <row r="27" spans="1:11" x14ac:dyDescent="0.45">
      <c r="A27" s="1" t="s">
        <v>52</v>
      </c>
    </row>
    <row r="28" spans="1:11" x14ac:dyDescent="0.45">
      <c r="A28" t="s">
        <v>34</v>
      </c>
      <c r="C28">
        <f>E6*E5</f>
        <v>0.140625</v>
      </c>
      <c r="E28" t="s">
        <v>48</v>
      </c>
      <c r="G28">
        <f>J4</f>
        <v>0</v>
      </c>
      <c r="I28" t="s">
        <v>56</v>
      </c>
      <c r="J28" t="e">
        <f>(G29*G30)/((G29*C31)+(G30*C30))</f>
        <v>#DIV/0!</v>
      </c>
    </row>
    <row r="29" spans="1:11" x14ac:dyDescent="0.45">
      <c r="A29" t="s">
        <v>35</v>
      </c>
      <c r="C29">
        <f>B8-C28</f>
        <v>-0.140625</v>
      </c>
      <c r="E29" t="s">
        <v>54</v>
      </c>
      <c r="G29">
        <f>G28*M3</f>
        <v>0</v>
      </c>
    </row>
    <row r="30" spans="1:11" x14ac:dyDescent="0.45">
      <c r="A30" t="s">
        <v>36</v>
      </c>
      <c r="C30" t="e">
        <f>C28/B8</f>
        <v>#DIV/0!</v>
      </c>
      <c r="E30" t="s">
        <v>43</v>
      </c>
      <c r="G30">
        <f>G28*M4</f>
        <v>0</v>
      </c>
    </row>
    <row r="31" spans="1:11" x14ac:dyDescent="0.45">
      <c r="A31" t="s">
        <v>37</v>
      </c>
      <c r="C31" t="e">
        <f>C29/B8</f>
        <v>#DIV/0!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T37"/>
  <sheetViews>
    <sheetView workbookViewId="0">
      <selection activeCell="O23" sqref="O23"/>
    </sheetView>
  </sheetViews>
  <sheetFormatPr defaultRowHeight="14.25" x14ac:dyDescent="0.45"/>
  <cols>
    <col min="12" max="12" width="18.1328125" customWidth="1"/>
  </cols>
  <sheetData>
    <row r="1" spans="1:20" x14ac:dyDescent="0.45">
      <c r="A1" t="s">
        <v>96</v>
      </c>
    </row>
    <row r="2" spans="1:20" x14ac:dyDescent="0.45">
      <c r="L2" s="2" t="s">
        <v>41</v>
      </c>
      <c r="P2" t="s">
        <v>62</v>
      </c>
    </row>
    <row r="3" spans="1:20" x14ac:dyDescent="0.45">
      <c r="A3" t="s">
        <v>21</v>
      </c>
      <c r="D3" t="s">
        <v>25</v>
      </c>
      <c r="G3" t="s">
        <v>38</v>
      </c>
      <c r="J3">
        <f>'Input (4 layer)'!C18</f>
        <v>0</v>
      </c>
      <c r="L3" t="s">
        <v>42</v>
      </c>
      <c r="M3" s="8">
        <f>'Input (4 layer)'!H47</f>
        <v>1.6666666666666667</v>
      </c>
    </row>
    <row r="4" spans="1:20" x14ac:dyDescent="0.45">
      <c r="A4" t="s">
        <v>23</v>
      </c>
      <c r="B4">
        <f>'Input (4 layer)'!C13</f>
        <v>0</v>
      </c>
      <c r="C4" t="s">
        <v>32</v>
      </c>
      <c r="D4" t="s">
        <v>23</v>
      </c>
      <c r="E4">
        <f>B4-0.375</f>
        <v>-0.375</v>
      </c>
      <c r="G4" t="s">
        <v>39</v>
      </c>
      <c r="J4">
        <f>'Input (4 layer)'!C19</f>
        <v>0</v>
      </c>
      <c r="L4" t="s">
        <v>43</v>
      </c>
      <c r="M4">
        <v>0.1</v>
      </c>
      <c r="P4" t="s">
        <v>63</v>
      </c>
      <c r="R4" t="e">
        <f>J12+J20+J27+J34+0.68+0.17</f>
        <v>#DIV/0!</v>
      </c>
      <c r="S4" t="s">
        <v>247</v>
      </c>
      <c r="T4" t="e">
        <f>1/R4</f>
        <v>#DIV/0!</v>
      </c>
    </row>
    <row r="5" spans="1:20" x14ac:dyDescent="0.45">
      <c r="A5" t="s">
        <v>24</v>
      </c>
      <c r="B5">
        <f>'Input (4 layer)'!C14</f>
        <v>0</v>
      </c>
      <c r="C5" t="s">
        <v>32</v>
      </c>
      <c r="D5" t="s">
        <v>24</v>
      </c>
      <c r="E5">
        <f>B5-0.375</f>
        <v>-0.375</v>
      </c>
      <c r="L5" t="s">
        <v>44</v>
      </c>
      <c r="M5">
        <v>0.1</v>
      </c>
      <c r="P5" t="s">
        <v>64</v>
      </c>
      <c r="R5" t="e">
        <f>J12+J20+J29+J34+0.68+0.17</f>
        <v>#DIV/0!</v>
      </c>
      <c r="S5" t="s">
        <v>248</v>
      </c>
      <c r="T5" t="e">
        <f>1/R5</f>
        <v>#DIV/0!</v>
      </c>
    </row>
    <row r="6" spans="1:20" x14ac:dyDescent="0.45">
      <c r="A6" t="s">
        <v>22</v>
      </c>
      <c r="B6">
        <f>'Input (4 layer)'!C15</f>
        <v>0</v>
      </c>
      <c r="C6" t="s">
        <v>32</v>
      </c>
      <c r="D6" t="s">
        <v>22</v>
      </c>
      <c r="E6">
        <f>B6-0.375</f>
        <v>-0.375</v>
      </c>
      <c r="G6" t="s">
        <v>152</v>
      </c>
      <c r="J6">
        <f>'Input (4 layer)'!I26</f>
        <v>0</v>
      </c>
      <c r="L6" t="s">
        <v>45</v>
      </c>
      <c r="M6">
        <f>0.97/G27</f>
        <v>-2.5866666666666664</v>
      </c>
    </row>
    <row r="7" spans="1:20" x14ac:dyDescent="0.45">
      <c r="G7" t="s">
        <v>153</v>
      </c>
      <c r="J7">
        <f>'Input (4 layer)'!I41</f>
        <v>0</v>
      </c>
      <c r="L7" t="s">
        <v>154</v>
      </c>
      <c r="M7">
        <f>'Input (4 layer)'!F53</f>
        <v>0</v>
      </c>
      <c r="P7" t="s">
        <v>74</v>
      </c>
      <c r="R7" t="e">
        <f>(1/T7)-0.68-0.17</f>
        <v>#DIV/0!</v>
      </c>
      <c r="S7" t="s">
        <v>249</v>
      </c>
      <c r="T7" t="e">
        <f>(('Input (4 layer)'!F62/100)*T4)+(('Input (4 layer)'!F63/100)*T5)</f>
        <v>#DIV/0!</v>
      </c>
    </row>
    <row r="8" spans="1:20" x14ac:dyDescent="0.45">
      <c r="A8" t="s">
        <v>30</v>
      </c>
      <c r="B8">
        <f>B6*B5</f>
        <v>0</v>
      </c>
      <c r="C8" t="s">
        <v>31</v>
      </c>
      <c r="L8" t="s">
        <v>46</v>
      </c>
      <c r="M8">
        <f>IF('Input (4 layer)'!F52="insulation",'CMU Calculations (4 layer)'!M7,'CMU Calculations (4 layer)'!M6)</f>
        <v>-2.5866666666666664</v>
      </c>
      <c r="P8" t="s">
        <v>250</v>
      </c>
    </row>
    <row r="9" spans="1:20" x14ac:dyDescent="0.45">
      <c r="G9" t="s">
        <v>156</v>
      </c>
      <c r="J9">
        <f>'Input (4 layer)'!C32</f>
        <v>0</v>
      </c>
      <c r="L9" t="s">
        <v>155</v>
      </c>
      <c r="M9">
        <f>'Input (4 layer)'!C33</f>
        <v>0</v>
      </c>
    </row>
    <row r="11" spans="1:20" x14ac:dyDescent="0.45">
      <c r="A11" s="1" t="s">
        <v>33</v>
      </c>
    </row>
    <row r="12" spans="1:20" x14ac:dyDescent="0.45">
      <c r="A12" t="s">
        <v>34</v>
      </c>
      <c r="C12">
        <f>E6*E5</f>
        <v>0.140625</v>
      </c>
      <c r="E12" t="s">
        <v>48</v>
      </c>
      <c r="G12">
        <f>J3</f>
        <v>0</v>
      </c>
      <c r="I12" t="s">
        <v>55</v>
      </c>
      <c r="J12" t="e">
        <f>(G13*G14)/((G13*C15)+(G14*C14))</f>
        <v>#DIV/0!</v>
      </c>
    </row>
    <row r="13" spans="1:20" x14ac:dyDescent="0.45">
      <c r="A13" t="s">
        <v>35</v>
      </c>
      <c r="C13">
        <f>B8-C12</f>
        <v>-0.140625</v>
      </c>
      <c r="E13" t="s">
        <v>54</v>
      </c>
      <c r="G13">
        <f>G12*M3</f>
        <v>0</v>
      </c>
    </row>
    <row r="14" spans="1:20" x14ac:dyDescent="0.45">
      <c r="A14" t="s">
        <v>36</v>
      </c>
      <c r="C14" t="e">
        <f>C12/B8</f>
        <v>#DIV/0!</v>
      </c>
      <c r="E14" t="s">
        <v>43</v>
      </c>
      <c r="G14">
        <f>G12*M4</f>
        <v>0</v>
      </c>
    </row>
    <row r="15" spans="1:20" x14ac:dyDescent="0.45">
      <c r="A15" t="s">
        <v>37</v>
      </c>
      <c r="C15" t="e">
        <f>C13/B8</f>
        <v>#DIV/0!</v>
      </c>
    </row>
    <row r="19" spans="1:11" x14ac:dyDescent="0.45">
      <c r="A19" s="1" t="s">
        <v>49</v>
      </c>
    </row>
    <row r="20" spans="1:11" x14ac:dyDescent="0.45">
      <c r="A20" t="s">
        <v>34</v>
      </c>
      <c r="C20">
        <f>J6</f>
        <v>0</v>
      </c>
      <c r="E20" t="s">
        <v>48</v>
      </c>
      <c r="G20">
        <f>J9</f>
        <v>0</v>
      </c>
      <c r="I20" t="s">
        <v>58</v>
      </c>
      <c r="J20" t="e">
        <f>(G21*G22)/((G21*C23)+(G22*C22))</f>
        <v>#DIV/0!</v>
      </c>
    </row>
    <row r="21" spans="1:11" x14ac:dyDescent="0.45">
      <c r="A21" t="s">
        <v>159</v>
      </c>
      <c r="C21">
        <f>B8-C20</f>
        <v>0</v>
      </c>
      <c r="E21" t="s">
        <v>57</v>
      </c>
      <c r="G21">
        <f>G20*M3</f>
        <v>0</v>
      </c>
    </row>
    <row r="22" spans="1:11" x14ac:dyDescent="0.45">
      <c r="A22" t="s">
        <v>36</v>
      </c>
      <c r="C22" t="e">
        <f>C20/B8</f>
        <v>#DIV/0!</v>
      </c>
      <c r="E22" t="s">
        <v>155</v>
      </c>
      <c r="G22">
        <f>G20*M9</f>
        <v>0</v>
      </c>
    </row>
    <row r="23" spans="1:11" x14ac:dyDescent="0.45">
      <c r="A23" t="s">
        <v>160</v>
      </c>
      <c r="C23" t="e">
        <f>C21/B8</f>
        <v>#DIV/0!</v>
      </c>
    </row>
    <row r="26" spans="1:11" x14ac:dyDescent="0.45">
      <c r="A26" s="1" t="s">
        <v>49</v>
      </c>
    </row>
    <row r="27" spans="1:11" x14ac:dyDescent="0.45">
      <c r="A27" t="s">
        <v>34</v>
      </c>
      <c r="C27">
        <f>J7</f>
        <v>0</v>
      </c>
      <c r="E27" t="s">
        <v>48</v>
      </c>
      <c r="G27">
        <f>E4-G12-G20-G34</f>
        <v>-0.375</v>
      </c>
      <c r="I27" t="s">
        <v>58</v>
      </c>
      <c r="J27" t="e">
        <f>(G28*G29)/((G28*C30)+(G29*C29))</f>
        <v>#DIV/0!</v>
      </c>
      <c r="K27" t="s">
        <v>59</v>
      </c>
    </row>
    <row r="28" spans="1:11" x14ac:dyDescent="0.45">
      <c r="A28" t="s">
        <v>161</v>
      </c>
      <c r="C28">
        <f>B8-C27</f>
        <v>0</v>
      </c>
      <c r="E28" t="s">
        <v>57</v>
      </c>
      <c r="G28">
        <f>G27*M3</f>
        <v>-0.625</v>
      </c>
    </row>
    <row r="29" spans="1:11" x14ac:dyDescent="0.45">
      <c r="A29" t="s">
        <v>36</v>
      </c>
      <c r="C29" t="e">
        <f>C27/B8</f>
        <v>#DIV/0!</v>
      </c>
      <c r="E29" t="s">
        <v>162</v>
      </c>
      <c r="G29">
        <f>G27*M8</f>
        <v>0.97</v>
      </c>
      <c r="I29" t="s">
        <v>60</v>
      </c>
      <c r="J29" t="e">
        <f>(G31*G32)/((G31*C30)+(G32*C29))</f>
        <v>#DIV/0!</v>
      </c>
      <c r="K29" t="s">
        <v>61</v>
      </c>
    </row>
    <row r="30" spans="1:11" x14ac:dyDescent="0.45">
      <c r="A30" t="s">
        <v>160</v>
      </c>
      <c r="C30" t="e">
        <f>C28/B8</f>
        <v>#DIV/0!</v>
      </c>
    </row>
    <row r="31" spans="1:11" x14ac:dyDescent="0.45">
      <c r="E31" t="s">
        <v>57</v>
      </c>
      <c r="G31">
        <f>G27*M3</f>
        <v>-0.625</v>
      </c>
    </row>
    <row r="32" spans="1:11" x14ac:dyDescent="0.45">
      <c r="E32" t="s">
        <v>44</v>
      </c>
      <c r="G32">
        <f>G27*M5</f>
        <v>-3.7500000000000006E-2</v>
      </c>
    </row>
    <row r="33" spans="1:10" x14ac:dyDescent="0.45">
      <c r="A33" s="1" t="s">
        <v>157</v>
      </c>
    </row>
    <row r="34" spans="1:10" x14ac:dyDescent="0.45">
      <c r="A34" t="s">
        <v>34</v>
      </c>
      <c r="C34">
        <f>E6*E5</f>
        <v>0.140625</v>
      </c>
      <c r="E34" t="s">
        <v>48</v>
      </c>
      <c r="G34">
        <f>J4</f>
        <v>0</v>
      </c>
      <c r="I34" t="s">
        <v>158</v>
      </c>
      <c r="J34" t="e">
        <f>(G35*G36)/((G35*C37)+(G36*C36))</f>
        <v>#DIV/0!</v>
      </c>
    </row>
    <row r="35" spans="1:10" x14ac:dyDescent="0.45">
      <c r="A35" t="s">
        <v>35</v>
      </c>
      <c r="C35">
        <f>B8-C34</f>
        <v>-0.140625</v>
      </c>
      <c r="E35" t="s">
        <v>54</v>
      </c>
      <c r="G35">
        <f>G34*M3</f>
        <v>0</v>
      </c>
    </row>
    <row r="36" spans="1:10" x14ac:dyDescent="0.45">
      <c r="A36" t="s">
        <v>36</v>
      </c>
      <c r="C36" t="e">
        <f>C34/B8</f>
        <v>#DIV/0!</v>
      </c>
      <c r="E36" t="s">
        <v>43</v>
      </c>
      <c r="G36">
        <f>G34*M4</f>
        <v>0</v>
      </c>
    </row>
    <row r="37" spans="1:10" x14ac:dyDescent="0.45">
      <c r="A37" t="s">
        <v>37</v>
      </c>
      <c r="C37" t="e">
        <f>C35/B8</f>
        <v>#DIV/0!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2:O26"/>
  <sheetViews>
    <sheetView workbookViewId="0">
      <selection activeCell="N21" sqref="N21"/>
    </sheetView>
  </sheetViews>
  <sheetFormatPr defaultRowHeight="14.25" x14ac:dyDescent="0.45"/>
  <cols>
    <col min="1" max="1" width="22.3984375" bestFit="1" customWidth="1"/>
    <col min="2" max="2" width="16.1328125" bestFit="1" customWidth="1"/>
    <col min="3" max="3" width="13.59765625" customWidth="1"/>
    <col min="6" max="6" width="22.3984375" bestFit="1" customWidth="1"/>
    <col min="7" max="7" width="17.1328125" customWidth="1"/>
    <col min="13" max="13" width="22.3984375" bestFit="1" customWidth="1"/>
    <col min="14" max="14" width="18.3984375" customWidth="1"/>
  </cols>
  <sheetData>
    <row r="2" spans="1:15" x14ac:dyDescent="0.45">
      <c r="A2" s="1" t="s">
        <v>165</v>
      </c>
      <c r="F2" s="1" t="s">
        <v>166</v>
      </c>
      <c r="M2" s="1" t="s">
        <v>167</v>
      </c>
      <c r="N2">
        <f>IF(B4="", IF(G4="",1,4),3)</f>
        <v>1</v>
      </c>
    </row>
    <row r="4" spans="1:15" x14ac:dyDescent="0.45">
      <c r="A4" s="13" t="s">
        <v>137</v>
      </c>
      <c r="B4" s="4" t="str">
        <f>IF('Input (3 Layer)'!C10="","",'Input (3 Layer)'!C10)</f>
        <v/>
      </c>
      <c r="F4" s="13" t="s">
        <v>137</v>
      </c>
      <c r="G4" t="str">
        <f>IF('Input (4 layer)'!C10="","",'Input (4 layer)'!C10)</f>
        <v/>
      </c>
      <c r="M4" s="13" t="s">
        <v>170</v>
      </c>
      <c r="N4" s="4" t="str">
        <f>IF($N$2=1,"No Description Input",IF($N$2=4,G4,B4))</f>
        <v>No Description Input</v>
      </c>
    </row>
    <row r="5" spans="1:15" x14ac:dyDescent="0.45">
      <c r="A5" s="13" t="s">
        <v>84</v>
      </c>
      <c r="B5" s="4" t="str">
        <f>'Input (3 Layer)'!C13&amp;" x "&amp;'Input (3 Layer)'!C14&amp;" x "&amp;'Input (3 Layer)'!C15</f>
        <v xml:space="preserve"> x  x </v>
      </c>
      <c r="C5" t="s">
        <v>86</v>
      </c>
      <c r="F5" s="13" t="s">
        <v>84</v>
      </c>
      <c r="G5" s="4" t="str">
        <f>'Input (4 layer)'!C13&amp;" x "&amp;'Input (4 layer)'!C14&amp;" x "&amp;'Input (4 layer)'!C15</f>
        <v xml:space="preserve"> x  x </v>
      </c>
      <c r="H5" t="s">
        <v>86</v>
      </c>
      <c r="M5" s="13" t="s">
        <v>171</v>
      </c>
      <c r="N5" s="4" t="str">
        <f>IF($N$2=1,"---",IF($N$2=4,G5,B5))</f>
        <v>---</v>
      </c>
    </row>
    <row r="6" spans="1:15" ht="15.75" x14ac:dyDescent="0.45">
      <c r="A6" s="13" t="s">
        <v>85</v>
      </c>
      <c r="B6" s="4">
        <f>'Input (3 Layer)'!C31</f>
        <v>0</v>
      </c>
      <c r="C6" t="s">
        <v>87</v>
      </c>
      <c r="F6" s="13" t="s">
        <v>85</v>
      </c>
      <c r="G6">
        <f>'Input (4 layer)'!C47</f>
        <v>0</v>
      </c>
      <c r="H6" t="s">
        <v>87</v>
      </c>
      <c r="M6" s="13" t="s">
        <v>172</v>
      </c>
      <c r="N6" s="4" t="str">
        <f>IF($N$2=1,"---",IF($N$2=4,G6,B6))</f>
        <v>---</v>
      </c>
    </row>
    <row r="7" spans="1:15" x14ac:dyDescent="0.45">
      <c r="A7" s="13" t="s">
        <v>94</v>
      </c>
      <c r="B7" s="12">
        <f>'Input (3 Layer)'!H31</f>
        <v>1.6666666666666667</v>
      </c>
      <c r="F7" s="13" t="s">
        <v>94</v>
      </c>
      <c r="G7" s="28">
        <f>'Input (4 layer)'!H47</f>
        <v>1.6666666666666667</v>
      </c>
      <c r="M7" s="13" t="s">
        <v>173</v>
      </c>
      <c r="N7" s="4" t="str">
        <f>IF($N$2=1,"---",IF($N$2=4,G7,B7))</f>
        <v>---</v>
      </c>
    </row>
    <row r="8" spans="1:15" x14ac:dyDescent="0.45">
      <c r="A8" s="13"/>
      <c r="B8" s="12"/>
      <c r="F8" s="13" t="s">
        <v>174</v>
      </c>
      <c r="G8" s="4" t="str">
        <f>'Input (4 layer)'!C32&amp;" inch thick "&amp;'Input (4 layer)'!C31</f>
        <v xml:space="preserve"> inch thick </v>
      </c>
      <c r="M8" s="13" t="str">
        <f>IF(N2=4,F8,"")</f>
        <v/>
      </c>
      <c r="N8" s="4" t="str">
        <f>IF($N$2=4,G8,"")</f>
        <v/>
      </c>
    </row>
    <row r="9" spans="1:15" x14ac:dyDescent="0.45">
      <c r="A9" s="13" t="s">
        <v>88</v>
      </c>
      <c r="B9" s="4" t="str">
        <f>IF('Input (3 Layer)'!F47=0,"Ungrouted", IF('Input (3 Layer)'!F47=100, "Solidly Grouted", "Partially Grouted"))</f>
        <v>Ungrouted</v>
      </c>
      <c r="C9" t="str">
        <f>IF(B9="Partially Grouted","Percent Grouted = "&amp;'Input (3 Layer)'!F47&amp;"%","")</f>
        <v/>
      </c>
      <c r="F9" s="13" t="s">
        <v>88</v>
      </c>
      <c r="G9" s="4" t="str">
        <f>IF('Input (4 layer)'!F62=100,"Ungrouted", IF('Input (4 layer)'!F62=0, "Solidly Grouted", "Partially Grouted"))</f>
        <v>Ungrouted</v>
      </c>
      <c r="H9" t="str">
        <f>IF(G9="Partially Grouted","Percent Grouted = "&amp;'Input (4 layer)'!F63&amp;"%","")</f>
        <v/>
      </c>
      <c r="M9" s="13" t="s">
        <v>175</v>
      </c>
      <c r="N9" s="4" t="str">
        <f>IF($N$2=1,"---",IF($N$2=4,G9,B9))</f>
        <v>---</v>
      </c>
      <c r="O9" t="str">
        <f>IF(N2=4,H9,C9)</f>
        <v/>
      </c>
    </row>
    <row r="10" spans="1:15" x14ac:dyDescent="0.45">
      <c r="A10" s="13" t="s">
        <v>89</v>
      </c>
      <c r="B10" s="4" t="str">
        <f>IF('Input (3 Layer)'!F36="Air", "Unfilled", "Insulated")</f>
        <v>Unfilled</v>
      </c>
      <c r="C10" t="str">
        <f>IF(B10="Unfilled","","Insulation R-Value per inch = "&amp;'Input (3 Layer)'!F37)</f>
        <v/>
      </c>
      <c r="F10" s="13" t="s">
        <v>89</v>
      </c>
      <c r="G10" s="4" t="str">
        <f>IF('Input (4 layer)'!F52="Air", "Unfilled", "Insulated")</f>
        <v>Unfilled</v>
      </c>
      <c r="H10" t="str">
        <f>IF(G10="Unfilled","","Insulation R-Value per inch = "&amp;'Input (4 layer)'!F53)</f>
        <v/>
      </c>
      <c r="M10" s="13" t="s">
        <v>176</v>
      </c>
      <c r="N10" s="4" t="str">
        <f>IF($N$2=1,"---",IF($N$2=4,G10,B10))</f>
        <v>---</v>
      </c>
      <c r="O10" t="str">
        <f>IF(N2=4,H10,C10)</f>
        <v/>
      </c>
    </row>
    <row r="11" spans="1:15" ht="15.75" x14ac:dyDescent="0.45">
      <c r="A11" s="13" t="s">
        <v>177</v>
      </c>
      <c r="B11" s="4">
        <f>'Input (3 Layer)'!I26</f>
        <v>0</v>
      </c>
      <c r="C11" t="s">
        <v>90</v>
      </c>
      <c r="F11" s="13" t="s">
        <v>178</v>
      </c>
      <c r="G11">
        <f>MAX('Input (4 layer)'!I26,'Input (4 layer)'!I41)</f>
        <v>0</v>
      </c>
      <c r="H11" t="s">
        <v>90</v>
      </c>
      <c r="M11" s="13" t="str">
        <f>IF(N2=4,F11,A11)</f>
        <v>Total Web Area:</v>
      </c>
      <c r="N11" s="4" t="str">
        <f>IF($N$2=1,"---",IF($N$2=4,G11,B11))</f>
        <v>---</v>
      </c>
    </row>
    <row r="12" spans="1:15" x14ac:dyDescent="0.45">
      <c r="A12" s="13"/>
      <c r="B12" s="4"/>
      <c r="F12" s="13"/>
      <c r="M12" s="13"/>
      <c r="N12" s="4"/>
    </row>
    <row r="13" spans="1:15" x14ac:dyDescent="0.45">
      <c r="A13" s="13" t="s">
        <v>91</v>
      </c>
      <c r="F13" s="13" t="s">
        <v>91</v>
      </c>
      <c r="M13" s="13" t="s">
        <v>91</v>
      </c>
      <c r="N13" s="4" t="str">
        <f>IF($N$2=1,"---",IF($N$2=4,G13,B13))</f>
        <v>---</v>
      </c>
    </row>
    <row r="14" spans="1:15" x14ac:dyDescent="0.45">
      <c r="A14" s="13" t="s">
        <v>93</v>
      </c>
      <c r="B14" s="16" t="str">
        <f>'Outside Finishes'!O5</f>
        <v>None</v>
      </c>
      <c r="F14" s="13" t="s">
        <v>93</v>
      </c>
      <c r="G14" t="str">
        <f>'Outside Finishes'!S5</f>
        <v>None</v>
      </c>
      <c r="M14" s="13" t="s">
        <v>179</v>
      </c>
      <c r="N14" s="4" t="str">
        <f>IF($N$2=1,"---",IF($N$2=4,G14,B14))</f>
        <v>---</v>
      </c>
    </row>
    <row r="15" spans="1:15" x14ac:dyDescent="0.45">
      <c r="A15" s="13" t="s">
        <v>92</v>
      </c>
      <c r="B15" s="16" t="str">
        <f>'Input (3 Layer)'!M22</f>
        <v>None</v>
      </c>
      <c r="F15" s="13" t="s">
        <v>92</v>
      </c>
      <c r="G15" t="str">
        <f>'Input (4 layer)'!M22</f>
        <v>None</v>
      </c>
      <c r="M15" s="13" t="s">
        <v>180</v>
      </c>
      <c r="N15" s="4" t="str">
        <f>IF($N$2=1,"---",IF($N$2=4,G15,B15))</f>
        <v>---</v>
      </c>
    </row>
    <row r="16" spans="1:15" x14ac:dyDescent="0.45">
      <c r="N16" s="4"/>
    </row>
    <row r="17" spans="1:14" x14ac:dyDescent="0.45">
      <c r="A17" s="2" t="s">
        <v>65</v>
      </c>
      <c r="B17" s="4"/>
      <c r="F17" s="2" t="s">
        <v>65</v>
      </c>
      <c r="M17" s="2" t="s">
        <v>65</v>
      </c>
      <c r="N17" s="4"/>
    </row>
    <row r="18" spans="1:14" x14ac:dyDescent="0.45">
      <c r="A18" t="s">
        <v>66</v>
      </c>
      <c r="B18" s="4">
        <v>0.68</v>
      </c>
      <c r="F18" t="s">
        <v>66</v>
      </c>
      <c r="G18">
        <v>0.68</v>
      </c>
      <c r="M18" t="s">
        <v>181</v>
      </c>
      <c r="N18" s="4" t="str">
        <f>IF($N$2=1,"---",IF($N$2=4,G18,B18))</f>
        <v>---</v>
      </c>
    </row>
    <row r="19" spans="1:14" x14ac:dyDescent="0.45">
      <c r="A19" t="s">
        <v>67</v>
      </c>
      <c r="B19" s="12">
        <v>0.17</v>
      </c>
      <c r="F19" t="s">
        <v>67</v>
      </c>
      <c r="G19">
        <v>0.17</v>
      </c>
      <c r="M19" t="s">
        <v>182</v>
      </c>
      <c r="N19" s="4" t="str">
        <f>IF($N$2=1,"---",IF($N$2=4,G19,B19))</f>
        <v>---</v>
      </c>
    </row>
    <row r="20" spans="1:14" x14ac:dyDescent="0.45">
      <c r="A20" t="s">
        <v>68</v>
      </c>
      <c r="B20" s="14" t="e">
        <f>'CMU Calculations (3 Layer)'!R7</f>
        <v>#DIV/0!</v>
      </c>
      <c r="F20" t="s">
        <v>68</v>
      </c>
      <c r="G20" s="29" t="e">
        <f>'CMU Calculations (4 layer)'!R7</f>
        <v>#DIV/0!</v>
      </c>
      <c r="M20" t="s">
        <v>183</v>
      </c>
      <c r="N20" s="4" t="str">
        <f>IF($N$2=1,"---",IF($N$2=4,G20,B20))</f>
        <v>---</v>
      </c>
    </row>
    <row r="21" spans="1:14" x14ac:dyDescent="0.45">
      <c r="A21" t="s">
        <v>69</v>
      </c>
      <c r="B21" s="9" t="str">
        <f>IF(B14="None","---",SUM('Outside Finishes'!O8:O10))</f>
        <v>---</v>
      </c>
      <c r="F21" t="s">
        <v>69</v>
      </c>
      <c r="G21" s="9" t="str">
        <f>IF(G14="None","---",SUM('Outside Finishes'!S8:S10))</f>
        <v>---</v>
      </c>
      <c r="M21" t="s">
        <v>184</v>
      </c>
      <c r="N21" s="4" t="str">
        <f>IF($N$2=1,"---",IF($N$2=4,G21,B21))</f>
        <v>---</v>
      </c>
    </row>
    <row r="22" spans="1:14" x14ac:dyDescent="0.45">
      <c r="A22" t="s">
        <v>70</v>
      </c>
      <c r="B22" s="9" t="str">
        <f>IF(B15="None","---",VLOOKUP('Input (3 Layer)'!M22,'Inside Finishes'!F4:G39,2,FALSE))</f>
        <v>---</v>
      </c>
      <c r="F22" t="s">
        <v>70</v>
      </c>
      <c r="G22" s="4" t="str">
        <f>IF(G15="None", "---",VLOOKUP('Input (4 layer)'!M22,'Inside Finishes'!F4:G39,2,FALSE))</f>
        <v>---</v>
      </c>
      <c r="M22" t="s">
        <v>185</v>
      </c>
      <c r="N22" s="4" t="str">
        <f>IF($N$2=1,"---",IF($N$2=4,G22,B22))</f>
        <v>---</v>
      </c>
    </row>
    <row r="23" spans="1:14" x14ac:dyDescent="0.45">
      <c r="B23" s="11"/>
      <c r="N23" s="4"/>
    </row>
    <row r="24" spans="1:14" x14ac:dyDescent="0.45">
      <c r="A24" s="1" t="s">
        <v>71</v>
      </c>
      <c r="B24" s="15" t="e">
        <f>SUM(B18:B22)</f>
        <v>#DIV/0!</v>
      </c>
      <c r="F24" s="1" t="s">
        <v>71</v>
      </c>
      <c r="G24" s="15" t="e">
        <f>SUM(G18:G22)</f>
        <v>#DIV/0!</v>
      </c>
      <c r="M24" s="1" t="s">
        <v>186</v>
      </c>
      <c r="N24" s="4" t="str">
        <f>IF($N$2=1,"---",IF($N$2=4,G24,B24))</f>
        <v>---</v>
      </c>
    </row>
    <row r="25" spans="1:14" x14ac:dyDescent="0.45">
      <c r="A25" s="1" t="s">
        <v>72</v>
      </c>
      <c r="B25" s="10" t="e">
        <f>1/B24</f>
        <v>#DIV/0!</v>
      </c>
      <c r="F25" s="1" t="s">
        <v>72</v>
      </c>
      <c r="G25" s="10" t="e">
        <f>1/G24</f>
        <v>#DIV/0!</v>
      </c>
      <c r="M25" s="1" t="s">
        <v>187</v>
      </c>
      <c r="N25" s="4" t="str">
        <f>IF($N$2=1,"---",IF($N$2=4,G25,B25))</f>
        <v>---</v>
      </c>
    </row>
    <row r="26" spans="1:14" x14ac:dyDescent="0.45">
      <c r="A26" s="1" t="s">
        <v>73</v>
      </c>
      <c r="B26" s="9" t="str">
        <f>IF('Input (3 Layer)'!F50="","---",'Input (3 Layer)'!F50)</f>
        <v>---</v>
      </c>
      <c r="F26" s="1" t="s">
        <v>73</v>
      </c>
      <c r="G26" s="9" t="str">
        <f>IF('Input (4 layer)'!F66="","---",'Input (4 layer)'!F66)</f>
        <v>---</v>
      </c>
      <c r="M26" s="1" t="s">
        <v>188</v>
      </c>
      <c r="N26" s="4" t="str">
        <f>IF($N$2=1,"---",IF($N$2=4,G26,B26))</f>
        <v>---</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G39"/>
  <sheetViews>
    <sheetView topLeftCell="C1" workbookViewId="0">
      <selection activeCell="F44" sqref="F44"/>
    </sheetView>
  </sheetViews>
  <sheetFormatPr defaultRowHeight="14.25" x14ac:dyDescent="0.45"/>
  <cols>
    <col min="6" max="6" width="105.73046875" customWidth="1"/>
    <col min="12" max="12" width="42.3984375" bestFit="1" customWidth="1"/>
    <col min="15" max="15" width="15.73046875" customWidth="1"/>
  </cols>
  <sheetData>
    <row r="1" spans="1:7" x14ac:dyDescent="0.45">
      <c r="A1" t="s">
        <v>75</v>
      </c>
      <c r="E1" t="s">
        <v>78</v>
      </c>
    </row>
    <row r="3" spans="1:7" x14ac:dyDescent="0.45">
      <c r="A3">
        <v>1</v>
      </c>
      <c r="B3" t="s">
        <v>76</v>
      </c>
      <c r="E3" t="s">
        <v>80</v>
      </c>
      <c r="F3" t="s">
        <v>81</v>
      </c>
      <c r="G3" t="s">
        <v>82</v>
      </c>
    </row>
    <row r="4" spans="1:7" x14ac:dyDescent="0.45">
      <c r="A4">
        <v>2</v>
      </c>
      <c r="B4" t="s">
        <v>77</v>
      </c>
      <c r="F4" t="s">
        <v>97</v>
      </c>
      <c r="G4">
        <v>0</v>
      </c>
    </row>
    <row r="5" spans="1:7" x14ac:dyDescent="0.45">
      <c r="E5">
        <v>2</v>
      </c>
      <c r="F5" t="s">
        <v>208</v>
      </c>
      <c r="G5">
        <v>1.1000000000000001</v>
      </c>
    </row>
    <row r="6" spans="1:7" x14ac:dyDescent="0.45">
      <c r="E6">
        <v>3</v>
      </c>
      <c r="F6" t="s">
        <v>209</v>
      </c>
      <c r="G6">
        <v>10.7</v>
      </c>
    </row>
    <row r="7" spans="1:7" x14ac:dyDescent="0.45">
      <c r="E7">
        <v>3</v>
      </c>
      <c r="F7" t="s">
        <v>210</v>
      </c>
      <c r="G7">
        <v>11.9</v>
      </c>
    </row>
    <row r="8" spans="1:7" x14ac:dyDescent="0.45">
      <c r="E8">
        <v>3</v>
      </c>
      <c r="F8" t="s">
        <v>211</v>
      </c>
      <c r="G8">
        <v>12.5</v>
      </c>
    </row>
    <row r="9" spans="1:7" x14ac:dyDescent="0.45">
      <c r="E9">
        <v>3</v>
      </c>
      <c r="F9" t="s">
        <v>212</v>
      </c>
      <c r="G9">
        <v>12.7</v>
      </c>
    </row>
    <row r="10" spans="1:7" x14ac:dyDescent="0.45">
      <c r="E10">
        <v>4</v>
      </c>
      <c r="F10" t="s">
        <v>213</v>
      </c>
      <c r="G10">
        <v>4.8499999999999996</v>
      </c>
    </row>
    <row r="11" spans="1:7" x14ac:dyDescent="0.45">
      <c r="E11">
        <v>4</v>
      </c>
      <c r="F11" t="s">
        <v>214</v>
      </c>
      <c r="G11">
        <v>6.1</v>
      </c>
    </row>
    <row r="12" spans="1:7" x14ac:dyDescent="0.45">
      <c r="E12">
        <v>4</v>
      </c>
      <c r="F12" t="s">
        <v>215</v>
      </c>
      <c r="G12">
        <v>8.6</v>
      </c>
    </row>
    <row r="13" spans="1:7" x14ac:dyDescent="0.45">
      <c r="E13">
        <v>4</v>
      </c>
      <c r="F13" t="s">
        <v>216</v>
      </c>
      <c r="G13">
        <v>11.1</v>
      </c>
    </row>
    <row r="14" spans="1:7" x14ac:dyDescent="0.45">
      <c r="E14">
        <v>4</v>
      </c>
      <c r="F14" t="s">
        <v>217</v>
      </c>
      <c r="G14">
        <v>13.6</v>
      </c>
    </row>
    <row r="15" spans="1:7" x14ac:dyDescent="0.45">
      <c r="E15">
        <v>4</v>
      </c>
      <c r="F15" t="s">
        <v>218</v>
      </c>
      <c r="G15">
        <v>16.100000000000001</v>
      </c>
    </row>
    <row r="16" spans="1:7" x14ac:dyDescent="0.45">
      <c r="E16">
        <v>4</v>
      </c>
      <c r="F16" t="s">
        <v>219</v>
      </c>
      <c r="G16">
        <v>6.3</v>
      </c>
    </row>
    <row r="17" spans="5:7" x14ac:dyDescent="0.45">
      <c r="E17">
        <v>4</v>
      </c>
      <c r="F17" t="s">
        <v>220</v>
      </c>
      <c r="G17">
        <v>7.37</v>
      </c>
    </row>
    <row r="18" spans="5:7" x14ac:dyDescent="0.45">
      <c r="E18">
        <v>4</v>
      </c>
      <c r="F18" t="s">
        <v>221</v>
      </c>
      <c r="G18">
        <v>11.6</v>
      </c>
    </row>
    <row r="19" spans="5:7" x14ac:dyDescent="0.45">
      <c r="E19">
        <v>4</v>
      </c>
      <c r="F19" t="s">
        <v>222</v>
      </c>
      <c r="G19">
        <v>15.5</v>
      </c>
    </row>
    <row r="20" spans="5:7" x14ac:dyDescent="0.45">
      <c r="E20">
        <v>4</v>
      </c>
      <c r="F20" t="s">
        <v>223</v>
      </c>
      <c r="G20">
        <v>18.899999999999999</v>
      </c>
    </row>
    <row r="21" spans="5:7" x14ac:dyDescent="0.45">
      <c r="E21">
        <v>4</v>
      </c>
      <c r="F21" t="s">
        <v>224</v>
      </c>
      <c r="G21">
        <v>22.3</v>
      </c>
    </row>
    <row r="22" spans="5:7" x14ac:dyDescent="0.45">
      <c r="E22">
        <v>5</v>
      </c>
      <c r="F22" t="s">
        <v>225</v>
      </c>
      <c r="G22">
        <v>14.4</v>
      </c>
    </row>
    <row r="23" spans="5:7" x14ac:dyDescent="0.45">
      <c r="E23">
        <v>5</v>
      </c>
      <c r="F23" t="s">
        <v>226</v>
      </c>
      <c r="G23">
        <v>17.8</v>
      </c>
    </row>
    <row r="24" spans="5:7" x14ac:dyDescent="0.45">
      <c r="E24">
        <v>5</v>
      </c>
      <c r="F24" t="s">
        <v>227</v>
      </c>
      <c r="G24">
        <v>21.2</v>
      </c>
    </row>
    <row r="25" spans="5:7" x14ac:dyDescent="0.45">
      <c r="E25">
        <v>5</v>
      </c>
      <c r="F25" t="s">
        <v>228</v>
      </c>
      <c r="G25">
        <v>24.6</v>
      </c>
    </row>
    <row r="26" spans="5:7" x14ac:dyDescent="0.45">
      <c r="E26">
        <v>6</v>
      </c>
      <c r="F26" t="s">
        <v>229</v>
      </c>
      <c r="G26">
        <v>7.05</v>
      </c>
    </row>
    <row r="27" spans="5:7" x14ac:dyDescent="0.45">
      <c r="E27">
        <v>6</v>
      </c>
      <c r="F27" t="s">
        <v>230</v>
      </c>
      <c r="G27">
        <v>7.65</v>
      </c>
    </row>
    <row r="28" spans="5:7" x14ac:dyDescent="0.45">
      <c r="E28">
        <v>6</v>
      </c>
      <c r="F28" t="s">
        <v>231</v>
      </c>
      <c r="G28">
        <v>8.25</v>
      </c>
    </row>
    <row r="29" spans="5:7" x14ac:dyDescent="0.45">
      <c r="E29">
        <v>6</v>
      </c>
      <c r="F29" t="s">
        <v>232</v>
      </c>
      <c r="G29">
        <v>9.0500000000000007</v>
      </c>
    </row>
    <row r="30" spans="5:7" x14ac:dyDescent="0.45">
      <c r="E30">
        <v>6</v>
      </c>
      <c r="F30" t="s">
        <v>233</v>
      </c>
      <c r="G30">
        <v>9.4499999999999993</v>
      </c>
    </row>
    <row r="31" spans="5:7" x14ac:dyDescent="0.45">
      <c r="E31">
        <v>7</v>
      </c>
      <c r="F31" t="s">
        <v>234</v>
      </c>
      <c r="G31">
        <v>4.45</v>
      </c>
    </row>
    <row r="32" spans="5:7" x14ac:dyDescent="0.45">
      <c r="E32">
        <v>7</v>
      </c>
      <c r="F32" t="s">
        <v>236</v>
      </c>
      <c r="G32">
        <v>5.65</v>
      </c>
    </row>
    <row r="33" spans="5:7" x14ac:dyDescent="0.45">
      <c r="E33">
        <v>7</v>
      </c>
      <c r="F33" t="s">
        <v>235</v>
      </c>
      <c r="G33">
        <v>8.0500000000000007</v>
      </c>
    </row>
    <row r="34" spans="5:7" x14ac:dyDescent="0.45">
      <c r="E34">
        <v>7</v>
      </c>
      <c r="F34" t="s">
        <v>237</v>
      </c>
      <c r="G34">
        <v>10.85</v>
      </c>
    </row>
    <row r="35" spans="5:7" x14ac:dyDescent="0.45">
      <c r="E35">
        <v>7</v>
      </c>
      <c r="F35" t="s">
        <v>238</v>
      </c>
      <c r="G35">
        <v>11.05</v>
      </c>
    </row>
    <row r="36" spans="5:7" x14ac:dyDescent="0.45">
      <c r="E36">
        <v>7</v>
      </c>
      <c r="F36" t="s">
        <v>239</v>
      </c>
      <c r="G36">
        <v>12.05</v>
      </c>
    </row>
    <row r="37" spans="5:7" x14ac:dyDescent="0.45">
      <c r="E37">
        <v>7</v>
      </c>
      <c r="F37" t="s">
        <v>240</v>
      </c>
      <c r="G37">
        <v>12.95</v>
      </c>
    </row>
    <row r="38" spans="5:7" x14ac:dyDescent="0.45">
      <c r="E38">
        <v>7</v>
      </c>
      <c r="F38" t="s">
        <v>241</v>
      </c>
      <c r="G38">
        <v>15.85</v>
      </c>
    </row>
    <row r="39" spans="5:7" x14ac:dyDescent="0.45">
      <c r="E39">
        <v>7</v>
      </c>
      <c r="F39" t="s">
        <v>242</v>
      </c>
      <c r="G39">
        <v>17.149999999999999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26"/>
  <sheetViews>
    <sheetView topLeftCell="A7" workbookViewId="0">
      <selection activeCell="C20" sqref="C20"/>
    </sheetView>
  </sheetViews>
  <sheetFormatPr defaultRowHeight="14.25" x14ac:dyDescent="0.45"/>
  <cols>
    <col min="3" max="3" width="40.59765625" customWidth="1"/>
    <col min="6" max="6" width="13.86328125" customWidth="1"/>
    <col min="9" max="9" width="20" customWidth="1"/>
    <col min="13" max="13" width="11.1328125" customWidth="1"/>
    <col min="14" max="14" width="17.265625" customWidth="1"/>
    <col min="17" max="17" width="11.1328125" customWidth="1"/>
    <col min="18" max="18" width="17.265625" customWidth="1"/>
  </cols>
  <sheetData>
    <row r="1" spans="1:19" x14ac:dyDescent="0.45">
      <c r="A1" t="s">
        <v>109</v>
      </c>
    </row>
    <row r="3" spans="1:19" x14ac:dyDescent="0.45">
      <c r="M3" t="s">
        <v>163</v>
      </c>
      <c r="Q3" t="s">
        <v>164</v>
      </c>
    </row>
    <row r="4" spans="1:19" x14ac:dyDescent="0.45">
      <c r="A4" t="s">
        <v>79</v>
      </c>
    </row>
    <row r="5" spans="1:19" x14ac:dyDescent="0.45">
      <c r="M5" t="s">
        <v>125</v>
      </c>
      <c r="O5" t="str">
        <f>IF(N8="Cavity Wall", "Cavity Wall, "&amp;N9&amp;" Veneer, "&amp;N10&amp;" Insulation",N8)</f>
        <v>None</v>
      </c>
      <c r="Q5" t="s">
        <v>125</v>
      </c>
      <c r="S5" t="str">
        <f>IF(R8="Cavity Wall", "Cavity Wall, "&amp;R9&amp;" Veneer, "&amp;R10&amp;" Insulation",R8)</f>
        <v>None</v>
      </c>
    </row>
    <row r="6" spans="1:19" x14ac:dyDescent="0.45">
      <c r="A6" t="s">
        <v>80</v>
      </c>
      <c r="C6" t="s">
        <v>81</v>
      </c>
      <c r="D6" t="s">
        <v>82</v>
      </c>
      <c r="F6" t="s">
        <v>110</v>
      </c>
      <c r="G6" t="s">
        <v>82</v>
      </c>
      <c r="I6" t="s">
        <v>102</v>
      </c>
      <c r="J6" t="s">
        <v>123</v>
      </c>
    </row>
    <row r="7" spans="1:19" x14ac:dyDescent="0.45">
      <c r="C7" t="s">
        <v>97</v>
      </c>
      <c r="D7">
        <v>0</v>
      </c>
      <c r="G7">
        <v>0</v>
      </c>
      <c r="J7">
        <v>0</v>
      </c>
      <c r="M7" s="1" t="s">
        <v>82</v>
      </c>
      <c r="Q7" s="1" t="s">
        <v>82</v>
      </c>
    </row>
    <row r="8" spans="1:19" x14ac:dyDescent="0.45">
      <c r="C8" t="s">
        <v>124</v>
      </c>
      <c r="D8">
        <v>0.97</v>
      </c>
      <c r="F8" t="s">
        <v>97</v>
      </c>
      <c r="G8">
        <v>0</v>
      </c>
      <c r="I8" t="s">
        <v>97</v>
      </c>
      <c r="J8">
        <v>0</v>
      </c>
      <c r="M8" t="s">
        <v>126</v>
      </c>
      <c r="N8" t="str">
        <f>'Input (3 Layer)'!M24</f>
        <v>None</v>
      </c>
      <c r="O8">
        <f>VLOOKUP('Input (3 Layer)'!M24,C7:D16,2,FALSE)</f>
        <v>0</v>
      </c>
      <c r="Q8" t="s">
        <v>126</v>
      </c>
      <c r="R8" t="str">
        <f>'Input (4 layer)'!M24</f>
        <v>None</v>
      </c>
      <c r="S8">
        <f>VLOOKUP('Input (4 layer)'!M24,C7:D16,2,FALSE)</f>
        <v>0</v>
      </c>
    </row>
    <row r="9" spans="1:19" x14ac:dyDescent="0.45">
      <c r="C9" t="s">
        <v>127</v>
      </c>
      <c r="D9">
        <v>6.9</v>
      </c>
      <c r="F9" t="s">
        <v>99</v>
      </c>
      <c r="G9">
        <v>0.94</v>
      </c>
      <c r="I9" t="s">
        <v>103</v>
      </c>
      <c r="J9">
        <v>5</v>
      </c>
      <c r="M9" t="s">
        <v>98</v>
      </c>
      <c r="N9" t="str">
        <f>IF(N8="Cavity Wall",'Input (3 Layer)'!M25,"None")</f>
        <v>None</v>
      </c>
      <c r="O9">
        <f>VLOOKUP(N9,F8:G11,2,FALSE)</f>
        <v>0</v>
      </c>
      <c r="Q9" t="s">
        <v>98</v>
      </c>
      <c r="R9" t="str">
        <f>IF(R8="Cavity Wall",'Input (4 layer)'!M25,"None")</f>
        <v>None</v>
      </c>
      <c r="S9">
        <f>VLOOKUP(R9,F8:G11,2,FALSE)</f>
        <v>0</v>
      </c>
    </row>
    <row r="10" spans="1:19" x14ac:dyDescent="0.45">
      <c r="C10" t="s">
        <v>128</v>
      </c>
      <c r="D10">
        <v>6.2</v>
      </c>
      <c r="F10" t="s">
        <v>100</v>
      </c>
      <c r="G10">
        <v>0.41</v>
      </c>
      <c r="I10" t="s">
        <v>104</v>
      </c>
      <c r="J10">
        <v>7.5</v>
      </c>
      <c r="M10" t="s">
        <v>77</v>
      </c>
      <c r="N10" t="str">
        <f>IF(N8="Cavity Wall",'Input (3 Layer)'!M26,"None")</f>
        <v>None</v>
      </c>
      <c r="O10">
        <f>VLOOKUP(N10,I8:J26,2,FALSE)</f>
        <v>0</v>
      </c>
      <c r="Q10" t="s">
        <v>77</v>
      </c>
      <c r="R10" t="str">
        <f>IF(R8="Cavity Wall",'Input (4 layer)'!M26,"None")</f>
        <v>None</v>
      </c>
      <c r="S10">
        <f>VLOOKUP(R10,I8:J26,2,FALSE)</f>
        <v>0</v>
      </c>
    </row>
    <row r="11" spans="1:19" x14ac:dyDescent="0.45">
      <c r="C11" t="s">
        <v>129</v>
      </c>
      <c r="D11">
        <v>8.1999999999999993</v>
      </c>
      <c r="F11" t="s">
        <v>101</v>
      </c>
      <c r="G11">
        <v>0.44</v>
      </c>
      <c r="I11" t="s">
        <v>105</v>
      </c>
      <c r="J11">
        <v>10</v>
      </c>
    </row>
    <row r="12" spans="1:19" x14ac:dyDescent="0.45">
      <c r="C12" t="s">
        <v>130</v>
      </c>
      <c r="D12">
        <v>5.2</v>
      </c>
      <c r="I12" t="s">
        <v>106</v>
      </c>
      <c r="J12">
        <v>12.5</v>
      </c>
    </row>
    <row r="13" spans="1:19" x14ac:dyDescent="0.45">
      <c r="C13" t="s">
        <v>131</v>
      </c>
      <c r="D13">
        <v>14.6</v>
      </c>
      <c r="I13" t="s">
        <v>107</v>
      </c>
      <c r="J13">
        <v>15</v>
      </c>
    </row>
    <row r="14" spans="1:19" x14ac:dyDescent="0.45">
      <c r="C14" t="s">
        <v>132</v>
      </c>
      <c r="D14">
        <v>12.7</v>
      </c>
      <c r="I14" t="s">
        <v>108</v>
      </c>
      <c r="J14">
        <v>17.5</v>
      </c>
    </row>
    <row r="15" spans="1:19" x14ac:dyDescent="0.45">
      <c r="C15" t="s">
        <v>133</v>
      </c>
      <c r="D15">
        <v>12.2</v>
      </c>
      <c r="I15" t="s">
        <v>111</v>
      </c>
      <c r="J15">
        <v>6.8</v>
      </c>
    </row>
    <row r="16" spans="1:19" x14ac:dyDescent="0.45">
      <c r="C16" t="s">
        <v>134</v>
      </c>
      <c r="D16">
        <v>21.4</v>
      </c>
      <c r="I16" t="s">
        <v>112</v>
      </c>
      <c r="J16">
        <v>10.1</v>
      </c>
    </row>
    <row r="17" spans="9:10" x14ac:dyDescent="0.45">
      <c r="I17" t="s">
        <v>113</v>
      </c>
      <c r="J17">
        <v>13.3</v>
      </c>
    </row>
    <row r="18" spans="9:10" x14ac:dyDescent="0.45">
      <c r="I18" t="s">
        <v>114</v>
      </c>
      <c r="J18">
        <v>16.149999999999999</v>
      </c>
    </row>
    <row r="19" spans="9:10" x14ac:dyDescent="0.45">
      <c r="I19" t="s">
        <v>115</v>
      </c>
      <c r="J19">
        <v>19</v>
      </c>
    </row>
    <row r="20" spans="9:10" x14ac:dyDescent="0.45">
      <c r="I20" t="s">
        <v>116</v>
      </c>
      <c r="J20">
        <v>22</v>
      </c>
    </row>
    <row r="21" spans="9:10" x14ac:dyDescent="0.45">
      <c r="I21" t="s">
        <v>117</v>
      </c>
      <c r="J21">
        <v>6.7</v>
      </c>
    </row>
    <row r="22" spans="9:10" x14ac:dyDescent="0.45">
      <c r="I22" t="s">
        <v>118</v>
      </c>
      <c r="J22">
        <v>10.5</v>
      </c>
    </row>
    <row r="23" spans="9:10" x14ac:dyDescent="0.45">
      <c r="I23" t="s">
        <v>119</v>
      </c>
      <c r="J23">
        <v>14.4</v>
      </c>
    </row>
    <row r="24" spans="9:10" x14ac:dyDescent="0.45">
      <c r="I24" t="s">
        <v>120</v>
      </c>
      <c r="J24">
        <v>17.8</v>
      </c>
    </row>
    <row r="25" spans="9:10" x14ac:dyDescent="0.45">
      <c r="I25" t="s">
        <v>121</v>
      </c>
      <c r="J25">
        <v>21.2</v>
      </c>
    </row>
    <row r="26" spans="9:10" x14ac:dyDescent="0.45">
      <c r="I26" t="s">
        <v>122</v>
      </c>
      <c r="J26">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 and Help</vt:lpstr>
      <vt:lpstr>Input (3 Layer)</vt:lpstr>
      <vt:lpstr>Input (4 layer)</vt:lpstr>
      <vt:lpstr>Output</vt:lpstr>
      <vt:lpstr>Output!Print_Area</vt:lpstr>
    </vt:vector>
  </TitlesOfParts>
  <Company>NCMA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Lang</dc:creator>
  <cp:lastModifiedBy>Amanda Bedian</cp:lastModifiedBy>
  <cp:lastPrinted>2015-07-06T15:00:52Z</cp:lastPrinted>
  <dcterms:created xsi:type="dcterms:W3CDTF">2014-07-01T00:38:13Z</dcterms:created>
  <dcterms:modified xsi:type="dcterms:W3CDTF">2021-02-16T18:24:38Z</dcterms:modified>
</cp:coreProperties>
</file>